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hidden="1">#REF!</definedName>
    <definedName name="_xlnm.Print_Area" localSheetId="2">'equity'!$B$1:$L$37</definedName>
  </definedNames>
  <calcPr fullCalcOnLoad="1"/>
</workbook>
</file>

<file path=xl/sharedStrings.xml><?xml version="1.0" encoding="utf-8"?>
<sst xmlns="http://schemas.openxmlformats.org/spreadsheetml/2006/main" count="204" uniqueCount="155">
  <si>
    <t>Jaycorp Berhad  ( Formerly known as Yeo Aik Resources Berhad )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</si>
  <si>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</si>
  <si>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</si>
  <si>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</si>
  <si>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</si>
  <si>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</si>
  <si>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</si>
  <si>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</si>
  <si>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</si>
  <si>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</si>
  <si>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</si>
  <si>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</si>
  <si>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( Restated )</t>
  </si>
  <si>
    <t>31/10/2006</t>
  </si>
  <si>
    <t>31/10/2005</t>
  </si>
  <si>
    <t>1/8/06-31/10/06</t>
  </si>
  <si>
    <t>1/8/05-31/10/05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</si>
  <si>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</si>
  <si>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</si>
  <si>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</si>
  <si>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</si>
  <si>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</si>
  <si>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</si>
  <si>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</si>
  <si>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</si>
  <si>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</si>
  <si>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Profit before taxation</t>
  </si>
  <si>
    <t>Tax expense</t>
  </si>
  <si>
    <t>Profit for the period</t>
  </si>
  <si>
    <t>Attributable to :</t>
  </si>
  <si>
    <t>Equity holders of the parent</t>
  </si>
  <si>
    <t>Minority interest</t>
  </si>
  <si>
    <t>Earning / (loss) per ordinary share (sen)</t>
  </si>
  <si>
    <t>(a) Basic</t>
  </si>
  <si>
    <t>(b) Fully diluted</t>
  </si>
  <si>
    <t>N/A</t>
  </si>
  <si>
    <t>( The Condensed Consolidated Income Statement should be read in conjunction with the Audited Financial Statements for the year ended 31 July 2006 )</t>
  </si>
  <si>
    <t>Condensed consolidated balance sheet</t>
  </si>
  <si>
    <t>Net Change</t>
  </si>
  <si>
    <t>As at 31 October 2006</t>
  </si>
  <si>
    <t>( The figures have not been audited )</t>
  </si>
  <si>
    <t xml:space="preserve">(Audited) </t>
  </si>
  <si>
    <t>ASSETS</t>
  </si>
  <si>
    <t>Property, plant and equipment</t>
  </si>
  <si>
    <t>Investment Properties</t>
  </si>
  <si>
    <t>Other investments</t>
  </si>
  <si>
    <t>Deferred tax assets</t>
  </si>
  <si>
    <t>CURRENT ASSETS</t>
  </si>
  <si>
    <t>Inventories</t>
  </si>
  <si>
    <t>Trade receivables</t>
  </si>
  <si>
    <t>Other receivables</t>
  </si>
  <si>
    <t>Deposits, 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</si>
  <si>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</si>
  <si>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</si>
  <si>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</si>
  <si>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</si>
  <si>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</si>
  <si>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</si>
  <si>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Translation Reserves</t>
  </si>
  <si>
    <t>Retained profit</t>
  </si>
  <si>
    <t>Total equity</t>
  </si>
  <si>
    <t>Non-current liabilities</t>
  </si>
  <si>
    <t>Borrowings</t>
  </si>
  <si>
    <t>Deferred tax liabilities</t>
  </si>
  <si>
    <t>Current liabilities</t>
  </si>
  <si>
    <t xml:space="preserve">Borrowings </t>
  </si>
  <si>
    <t>Trade payables</t>
  </si>
  <si>
    <t>Other payables</t>
  </si>
  <si>
    <t>TOTAL LIABILITIES</t>
  </si>
  <si>
    <t>TOTAL EQUITY AND LIABILITIES</t>
  </si>
  <si>
    <t>NET ASSETS PER SHARE</t>
  </si>
  <si>
    <t>Note : Net assets shall exculde MI</t>
  </si>
  <si>
    <t>(The Condensed Consolidated Balance Sheet should be read in conjunction with the Annual Financial</t>
  </si>
  <si>
    <t>Report for the year ended 31 July 2004.)</t>
  </si>
  <si>
    <t>(The Condensed Consolidated Balance Sheets should be read in conjunction with the Audited Financial</t>
  </si>
  <si>
    <t xml:space="preserve"> Statements for the year ended 31 July 2006)</t>
  </si>
  <si>
    <t>Condensed consolidated statement of changes in equity</t>
  </si>
  <si>
    <t>For First Quarter Ending 31 October 2006</t>
  </si>
  <si>
    <t>(The figures have not been audited)</t>
  </si>
  <si>
    <t>Attributable to Equity Holders of the Parent</t>
  </si>
  <si>
    <t>&lt;-----------------Non - distributable ---------&gt;</t>
  </si>
  <si>
    <t>Distributable</t>
  </si>
  <si>
    <t>Share</t>
  </si>
  <si>
    <t xml:space="preserve">Treasury </t>
  </si>
  <si>
    <t>Translation</t>
  </si>
  <si>
    <t>Retained</t>
  </si>
  <si>
    <t>Negative</t>
  </si>
  <si>
    <t>Minority</t>
  </si>
  <si>
    <t>Total</t>
  </si>
  <si>
    <t>capital</t>
  </si>
  <si>
    <t>premium</t>
  </si>
  <si>
    <t>Shares</t>
  </si>
  <si>
    <t>Reserves</t>
  </si>
  <si>
    <t>profits</t>
  </si>
  <si>
    <t>goodwill</t>
  </si>
  <si>
    <t>Interest</t>
  </si>
  <si>
    <t>Equity</t>
  </si>
  <si>
    <t>At 1 August 2005</t>
  </si>
  <si>
    <t>Effect of adopting FRS 3</t>
  </si>
  <si>
    <t>Special Issues</t>
  </si>
  <si>
    <t>Foreign exchange</t>
  </si>
  <si>
    <t>Share buyback</t>
  </si>
  <si>
    <t>Less : Dividend</t>
  </si>
  <si>
    <t>Net profit for the Quarter</t>
  </si>
  <si>
    <t>At 31 October 2005</t>
  </si>
  <si>
    <t>At 1 August 2006</t>
  </si>
  <si>
    <t>Effect of Adopting FRS 3</t>
  </si>
  <si>
    <t>Bonus Issues</t>
  </si>
  <si>
    <t>At 31 October 2006</t>
  </si>
  <si>
    <t>(The Consolidated Statement of Changes in Equity should be read in conjunction with the Audited Financial Statements</t>
  </si>
  <si>
    <t xml:space="preserve"> for the year ended 31 July 2006)</t>
  </si>
  <si>
    <t>Jaycorp Berhad ( Formerly known as Yeo Aik Resources Berhad )</t>
  </si>
  <si>
    <t xml:space="preserve">Condensed Consolidated Cash Flow Statements </t>
  </si>
  <si>
    <t>As At Quarter Ended 31 October 2006</t>
  </si>
  <si>
    <t>For The</t>
  </si>
  <si>
    <t>Preceding</t>
  </si>
  <si>
    <t>ENDED</t>
  </si>
  <si>
    <t>ended</t>
  </si>
  <si>
    <t>CASH FLOWS FROM OPERATING ACTIVITIES</t>
  </si>
  <si>
    <t>Adjustments for :-</t>
  </si>
  <si>
    <t>Depreciation</t>
  </si>
  <si>
    <t>Non cash items</t>
  </si>
  <si>
    <t>Interest expenses</t>
  </si>
  <si>
    <t>Interest income</t>
  </si>
  <si>
    <t>Operating profit before working capital changes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</si>
  <si>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</si>
  <si>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</si>
  <si>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</si>
  <si>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</si>
  <si>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</si>
  <si>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Net cash flows from operating activities</t>
  </si>
  <si>
    <t>Investing activities</t>
  </si>
  <si>
    <t>Purchase of property, plant &amp; equipment</t>
  </si>
  <si>
    <t>Proceeds from sale of property, plant &amp; equipment</t>
  </si>
  <si>
    <t>Research and development costs</t>
  </si>
  <si>
    <t>Net cash outflows from investing activities</t>
  </si>
  <si>
    <t>Financing activities</t>
  </si>
  <si>
    <t>Issue of new shares-Public issue</t>
  </si>
  <si>
    <t>Listing expenses</t>
  </si>
  <si>
    <t>Interest paid</t>
  </si>
  <si>
    <t>Net borrowings raised</t>
  </si>
  <si>
    <t>Translation reserve for investment in subsidiary</t>
  </si>
  <si>
    <t>Proceeds from issuance of shares</t>
  </si>
  <si>
    <t>Net cash inflows from financing activities</t>
  </si>
  <si>
    <t>Net change in cash &amp; cash equivalents</t>
  </si>
  <si>
    <t xml:space="preserve"> </t>
  </si>
  <si>
    <t>Cash &amp; cash equivalents at beginning of period</t>
  </si>
  <si>
    <t>Foreign exchange difference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</si>
  <si>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</si>
  <si>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</si>
  <si>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</si>
  <si>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</si>
  <si>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</si>
  <si>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</si>
  <si>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( The Condensed Consolidated Cash Flow Statements should be read in conjunction with the Audited Financial Statements for the year ended 31 July 2006 )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</si>
</sst>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  <numFmt numFmtId="167" formatCode="_ * #,##0.00_ ;_ * \-#,##0.00_ ;_ * &quot;-&quot;??_ ;_ @_ 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_);_(@_)"/>
    <numFmt numFmtId="172" formatCode="#,##0.0_);\(#,##0.0\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#,##0.0000"/>
    <numFmt numFmtId="182" formatCode="_ * #,##0.0000_ ;_ * \-#,##0.0000_ ;_ * &quot;-&quot;??_ ;_ @_ 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&quot;\&quot;#,##0.00;[Red]&quot;\&quot;&quot;\&quot;&quot;\&quot;&quot;\&quot;&quot;\&quot;&quot;\&quot;\-#,##0.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8" fillId="0" borderId="0">
      <alignment/>
      <protection/>
    </xf>
  </cellStyleXfs>
  <cellXfs count="147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1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5" fontId="10" fillId="0" borderId="0" xfId="0" applyNumberFormat="1" applyFont="1" applyAlignment="1" quotePrefix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2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10" fillId="0" borderId="3" xfId="15" applyNumberFormat="1" applyFont="1" applyBorder="1" applyAlignment="1">
      <alignment/>
    </xf>
    <xf numFmtId="164" fontId="10" fillId="0" borderId="0" xfId="15" applyNumberFormat="1" applyFont="1" applyBorder="1" applyAlignment="1">
      <alignment horizontal="right"/>
    </xf>
    <xf numFmtId="43" fontId="10" fillId="0" borderId="0" xfId="15" applyNumberFormat="1" applyFont="1" applyBorder="1" applyAlignment="1">
      <alignment/>
    </xf>
    <xf numFmtId="43" fontId="10" fillId="0" borderId="0" xfId="15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 quotePrefix="1">
      <alignment/>
    </xf>
    <xf numFmtId="43" fontId="10" fillId="0" borderId="0" xfId="15" applyNumberFormat="1" applyFont="1" applyFill="1" applyBorder="1" applyAlignment="1">
      <alignment horizontal="right"/>
    </xf>
    <xf numFmtId="43" fontId="10" fillId="0" borderId="0" xfId="15" applyFont="1" applyBorder="1" applyAlignment="1">
      <alignment/>
    </xf>
    <xf numFmtId="43" fontId="10" fillId="0" borderId="0" xfId="15" applyNumberFormat="1" applyFont="1" applyBorder="1" applyAlignment="1">
      <alignment horizontal="right"/>
    </xf>
    <xf numFmtId="43" fontId="10" fillId="0" borderId="0" xfId="15" applyFont="1" applyBorder="1" applyAlignment="1">
      <alignment horizontal="right"/>
    </xf>
    <xf numFmtId="0" fontId="10" fillId="0" borderId="0" xfId="0" applyNumberFormat="1" applyFont="1" applyAlignment="1">
      <alignment vertical="top" wrapText="1"/>
    </xf>
    <xf numFmtId="43" fontId="10" fillId="0" borderId="0" xfId="15" applyFont="1" applyBorder="1" applyAlignment="1">
      <alignment horizontal="center"/>
    </xf>
    <xf numFmtId="43" fontId="10" fillId="0" borderId="0" xfId="15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9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64" fontId="11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43" fontId="11" fillId="0" borderId="0" xfId="15" applyNumberFormat="1" applyFont="1" applyFill="1" applyBorder="1" applyAlignment="1">
      <alignment/>
    </xf>
    <xf numFmtId="43" fontId="9" fillId="0" borderId="0" xfId="15" applyFont="1" applyFill="1" applyBorder="1" applyAlignment="1">
      <alignment/>
    </xf>
    <xf numFmtId="0" fontId="11" fillId="0" borderId="0" xfId="2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8" fillId="0" borderId="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/>
    </xf>
    <xf numFmtId="164" fontId="0" fillId="0" borderId="5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7" xfId="0" applyNumberFormat="1" applyFont="1" applyBorder="1" applyAlignment="1">
      <alignment/>
    </xf>
    <xf numFmtId="0" fontId="19" fillId="0" borderId="0" xfId="0" applyFont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164" fontId="0" fillId="0" borderId="1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Alignment="1">
      <alignment/>
    </xf>
    <xf numFmtId="37" fontId="1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27" applyFont="1" applyFill="1" applyAlignment="1">
      <alignment horizontal="centerContinuous"/>
      <protection/>
    </xf>
    <xf numFmtId="166" fontId="11" fillId="0" borderId="0" xfId="27" applyNumberFormat="1" applyFont="1" applyFill="1" applyAlignment="1">
      <alignment horizontal="centerContinuous"/>
      <protection/>
    </xf>
    <xf numFmtId="0" fontId="11" fillId="0" borderId="0" xfId="27" applyFont="1" applyFill="1" applyAlignment="1">
      <alignment/>
      <protection/>
    </xf>
    <xf numFmtId="37" fontId="1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37" fontId="11" fillId="0" borderId="0" xfId="27" applyNumberFormat="1" applyFont="1" applyFill="1" applyAlignment="1">
      <alignment horizontal="left"/>
      <protection/>
    </xf>
    <xf numFmtId="37" fontId="9" fillId="0" borderId="0" xfId="27" applyNumberFormat="1" applyFont="1" applyFill="1" applyBorder="1" applyAlignment="1">
      <alignment horizontal="center"/>
      <protection/>
    </xf>
    <xf numFmtId="37" fontId="11" fillId="0" borderId="0" xfId="27" applyNumberFormat="1" applyFont="1" applyFill="1" applyBorder="1" applyAlignment="1">
      <alignment horizontal="center"/>
      <protection/>
    </xf>
    <xf numFmtId="37" fontId="11" fillId="0" borderId="0" xfId="27" applyNumberFormat="1" applyFont="1" applyFill="1" applyBorder="1" applyAlignment="1">
      <alignment horizontal="left"/>
      <protection/>
    </xf>
    <xf numFmtId="0" fontId="11" fillId="0" borderId="0" xfId="27" applyFont="1" applyFill="1" applyBorder="1" applyAlignment="1">
      <alignment horizontal="centerContinuous"/>
      <protection/>
    </xf>
    <xf numFmtId="0" fontId="11" fillId="0" borderId="0" xfId="27" applyFont="1" applyFill="1" applyBorder="1" applyAlignment="1">
      <alignment horizontal="center"/>
      <protection/>
    </xf>
    <xf numFmtId="37" fontId="11" fillId="0" borderId="0" xfId="27" applyNumberFormat="1" applyFont="1" applyFill="1" applyAlignment="1">
      <alignment/>
      <protection/>
    </xf>
    <xf numFmtId="0" fontId="11" fillId="0" borderId="0" xfId="27" applyFont="1" applyFill="1" applyAlignment="1">
      <alignment horizontal="center"/>
      <protection/>
    </xf>
    <xf numFmtId="164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37" fontId="11" fillId="0" borderId="2" xfId="27" applyNumberFormat="1" applyFont="1" applyFill="1" applyBorder="1" applyAlignment="1">
      <alignment/>
      <protection/>
    </xf>
    <xf numFmtId="43" fontId="11" fillId="0" borderId="2" xfId="15" applyFont="1" applyFill="1" applyBorder="1" applyAlignment="1">
      <alignment/>
    </xf>
    <xf numFmtId="37" fontId="11" fillId="0" borderId="3" xfId="27" applyNumberFormat="1" applyFont="1" applyFill="1" applyBorder="1" applyAlignment="1">
      <alignment/>
      <protection/>
    </xf>
    <xf numFmtId="0" fontId="11" fillId="0" borderId="0" xfId="0" applyFont="1" applyFill="1" applyAlignment="1">
      <alignment horizontal="center"/>
    </xf>
    <xf numFmtId="37" fontId="11" fillId="0" borderId="0" xfId="15" applyNumberFormat="1" applyFont="1" applyFill="1" applyBorder="1" applyAlignment="1">
      <alignment/>
    </xf>
    <xf numFmtId="37" fontId="11" fillId="0" borderId="2" xfId="15" applyNumberFormat="1" applyFont="1" applyFill="1" applyBorder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15" xfId="15" applyNumberFormat="1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15" xfId="0" applyNumberFormat="1" applyFont="1" applyFill="1" applyBorder="1" applyAlignment="1">
      <alignment/>
    </xf>
    <xf numFmtId="0" fontId="11" fillId="0" borderId="0" xfId="27" applyFont="1" applyFill="1" applyAlignment="1">
      <alignment vertical="top" wrapText="1"/>
      <protection/>
    </xf>
    <xf numFmtId="37" fontId="11" fillId="0" borderId="0" xfId="0" applyNumberFormat="1" applyFont="1" applyFill="1" applyBorder="1" applyAlignment="1">
      <alignment vertical="top" wrapText="1"/>
    </xf>
    <xf numFmtId="164" fontId="11" fillId="0" borderId="0" xfId="27" applyNumberFormat="1" applyFont="1" applyFill="1" applyAlignment="1">
      <alignment/>
      <protection/>
    </xf>
    <xf numFmtId="0" fontId="9" fillId="0" borderId="0" xfId="27" applyFont="1" applyFill="1" applyAlignment="1">
      <alignment/>
      <protection/>
    </xf>
    <xf numFmtId="14" fontId="10" fillId="0" borderId="0" xfId="0" applyNumberFormat="1" applyFont="1" applyFill="1" applyAlignment="1">
      <alignment horizontal="center"/>
    </xf>
    <xf numFmtId="164" fontId="10" fillId="0" borderId="0" xfId="15" applyNumberFormat="1" applyFont="1" applyFill="1" applyBorder="1" applyAlignment="1">
      <alignment horizontal="center"/>
    </xf>
    <xf numFmtId="164" fontId="10" fillId="0" borderId="2" xfId="15" applyNumberFormat="1" applyFont="1" applyFill="1" applyBorder="1" applyAlignment="1">
      <alignment horizontal="center"/>
    </xf>
    <xf numFmtId="164" fontId="10" fillId="0" borderId="2" xfId="15" applyNumberFormat="1" applyFont="1" applyFill="1" applyBorder="1" applyAlignment="1">
      <alignment/>
    </xf>
    <xf numFmtId="164" fontId="10" fillId="0" borderId="0" xfId="15" applyNumberFormat="1" applyFont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 horizontal="center"/>
    </xf>
    <xf numFmtId="164" fontId="11" fillId="0" borderId="3" xfId="0" applyNumberFormat="1" applyFont="1" applyFill="1" applyBorder="1" applyAlignment="1">
      <alignment/>
    </xf>
    <xf numFmtId="164" fontId="11" fillId="0" borderId="15" xfId="0" applyNumberFormat="1" applyFont="1" applyFill="1" applyBorder="1" applyAlignment="1">
      <alignment/>
    </xf>
    <xf numFmtId="164" fontId="11" fillId="0" borderId="3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Cashflow - Dec 99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eychong\mgm%20meeting%20report\mm(oct06)\KLSE-Q1(oct2006)Board%20pap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EGGY%20BACKUP\BOD%20meeting%20Q1%202006\Copy%20of%20KLSE-Q1(Oct2006)Board%20papers%20xls(version%2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eychong\mgm%20meeting%20report\mm(oct06)\BOD%20Meeting%20Q1%202007_bursa\KLSE(1Q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eychong\mgm%20meeting%20report\mm(oct06)\BOD%20Meeting%20Q1%202007_bursa\KLSE(1Q07)_new%20f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PL(1stQ)"/>
      <sheetName val="BS(1stQ)"/>
      <sheetName val="ConsoAdj Q1"/>
      <sheetName val="PTT(BS)_Q1"/>
      <sheetName val="PTT(PL)_Q1"/>
      <sheetName val="PT3_PPE_Q1"/>
      <sheetName val="InterBalQ1"/>
      <sheetName val="InterCo(TransQ1)"/>
      <sheetName val="Segml(Sales)"/>
      <sheetName val="Sales By Sector_q1"/>
      <sheetName val="Sales By Country_q1"/>
      <sheetName val="DepQ1"/>
      <sheetName val="NetDepQ4"/>
      <sheetName val="pt3 stoc"/>
      <sheetName val="ConPL(3ndQ)"/>
      <sheetName val="PTT(BS)_q3"/>
      <sheetName val="NetConPL(3nd qtr)"/>
      <sheetName val="ConsoAdj Q3"/>
      <sheetName val="Dep3Q"/>
      <sheetName val="NetDepQ3 "/>
      <sheetName val="Sales By Country_q3"/>
      <sheetName val="InterBalQ3"/>
      <sheetName val="InterCo(TransQ3)"/>
      <sheetName val="BS(3ndQ) "/>
      <sheetName val="Actual Vs Budget(To Go)_Q3"/>
      <sheetName val="Segm(PBT) Q3 2006"/>
      <sheetName val="Sales By Sector_q3"/>
      <sheetName val="Sales By Country"/>
      <sheetName val="PTT(PL)_Q3 (2)"/>
      <sheetName val="BG"/>
      <sheetName val="ConPL(2ndQ)"/>
      <sheetName val="NetConPL(2nd qtr)"/>
      <sheetName val="PT3 NBV_Q3"/>
      <sheetName val="BS(2ndQ)"/>
      <sheetName val="InterBalQ2 "/>
      <sheetName val="ConsoAdj Q2"/>
      <sheetName val="PTT(PL)"/>
      <sheetName val="PTT(BS)"/>
      <sheetName val="interco"/>
      <sheetName val="Sales By Sector"/>
      <sheetName val="Segm PBT Q1 2005"/>
      <sheetName val="InterCo(TransQ2)"/>
      <sheetName val="Segm(PBT) Q2 2005"/>
      <sheetName val="Sensetive"/>
      <sheetName val="Sensitive(Rev)"/>
      <sheetName val="ActuaVsRevised"/>
      <sheetName val="Actual Vs Budget(To Go)"/>
      <sheetName val="PL(work)Q2"/>
      <sheetName val="PL(work)Q1"/>
      <sheetName val="Q2vsQ2"/>
      <sheetName val="Q2vsQ1 (2)"/>
      <sheetName val="NetDepQ2"/>
      <sheetName val="Dep1Q"/>
      <sheetName val="Dep2Q "/>
      <sheetName val="ConsoAdjQ1"/>
    </sheetNames>
    <sheetDataSet>
      <sheetData sheetId="0">
        <row r="17">
          <cell r="Q17">
            <v>54174403.300000004</v>
          </cell>
        </row>
        <row r="25">
          <cell r="Q25">
            <v>8478524.160000004</v>
          </cell>
        </row>
        <row r="26">
          <cell r="Q26">
            <v>110966.77</v>
          </cell>
        </row>
        <row r="27">
          <cell r="Q27">
            <v>464367.08</v>
          </cell>
        </row>
        <row r="31">
          <cell r="Q31">
            <v>3133036.3</v>
          </cell>
        </row>
        <row r="32">
          <cell r="Q32">
            <v>2479466.74</v>
          </cell>
        </row>
        <row r="33">
          <cell r="Q33">
            <v>466083.12</v>
          </cell>
        </row>
        <row r="34">
          <cell r="Q34">
            <v>102212.51000000001</v>
          </cell>
        </row>
        <row r="38">
          <cell r="Q38">
            <v>0</v>
          </cell>
        </row>
        <row r="40">
          <cell r="Q40">
            <v>-792602.01</v>
          </cell>
        </row>
        <row r="44">
          <cell r="Q44">
            <v>144367.26452392718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ConPL(1st qtr)"/>
      <sheetName val="1st Q (COGS details)"/>
      <sheetName val="ConPL(1st qtr)"/>
      <sheetName val="InterCoTransQ"/>
      <sheetName val="Sales By Country"/>
      <sheetName val="Sales By Sector"/>
      <sheetName val="Segml(Sales)"/>
      <sheetName val="BS(1stQ)"/>
      <sheetName val="ConsoAdj Q12006 "/>
      <sheetName val="InterBalQ1 06"/>
      <sheetName val="Depreciation1Q06 "/>
      <sheetName val="BG"/>
    </sheetNames>
    <sheetDataSet>
      <sheetData sheetId="0">
        <row r="26">
          <cell r="O26">
            <v>72109</v>
          </cell>
        </row>
        <row r="27">
          <cell r="O27">
            <v>-158707</v>
          </cell>
        </row>
        <row r="31">
          <cell r="O31">
            <v>4881490</v>
          </cell>
        </row>
        <row r="32">
          <cell r="O32">
            <v>126882</v>
          </cell>
        </row>
        <row r="33">
          <cell r="O33">
            <v>128390</v>
          </cell>
        </row>
        <row r="37">
          <cell r="O37">
            <v>97268</v>
          </cell>
        </row>
        <row r="39">
          <cell r="O39">
            <v>-744102</v>
          </cell>
        </row>
        <row r="43">
          <cell r="O43">
            <v>-225742.02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CF workings"/>
      <sheetName val="Sheet1"/>
      <sheetName val="Explanation"/>
    </sheetNames>
    <sheetDataSet>
      <sheetData sheetId="4">
        <row r="111">
          <cell r="D111">
            <v>12343.7733</v>
          </cell>
        </row>
        <row r="112">
          <cell r="D112">
            <v>6369.33844</v>
          </cell>
        </row>
        <row r="113">
          <cell r="D113">
            <v>-2701.14625</v>
          </cell>
        </row>
        <row r="115">
          <cell r="D115">
            <v>-3404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CF workings"/>
      <sheetName val="Sheet1"/>
    </sheetNames>
    <sheetDataSet>
      <sheetData sheetId="4">
        <row r="8">
          <cell r="N8">
            <v>-1075</v>
          </cell>
        </row>
        <row r="10">
          <cell r="N10">
            <v>59.4</v>
          </cell>
        </row>
        <row r="14">
          <cell r="K14">
            <v>1358.4</v>
          </cell>
        </row>
        <row r="16">
          <cell r="L16">
            <v>117.15700000000015</v>
          </cell>
        </row>
        <row r="36">
          <cell r="L36">
            <v>-696.8989999999976</v>
          </cell>
        </row>
        <row r="38">
          <cell r="L38">
            <v>-406.2350000000006</v>
          </cell>
        </row>
        <row r="43">
          <cell r="L43">
            <v>-740.178</v>
          </cell>
        </row>
        <row r="44">
          <cell r="L44">
            <v>744</v>
          </cell>
        </row>
        <row r="55">
          <cell r="L55">
            <v>1355.3129999999983</v>
          </cell>
        </row>
        <row r="61">
          <cell r="L61">
            <v>-112.546</v>
          </cell>
        </row>
        <row r="63">
          <cell r="L63">
            <v>-116.69999999999999</v>
          </cell>
        </row>
        <row r="70">
          <cell r="O70">
            <v>120</v>
          </cell>
        </row>
        <row r="71">
          <cell r="O71">
            <v>-1324</v>
          </cell>
        </row>
        <row r="72">
          <cell r="O72">
            <v>3239.735</v>
          </cell>
        </row>
        <row r="73">
          <cell r="O73">
            <v>-101.264</v>
          </cell>
        </row>
        <row r="76">
          <cell r="O76">
            <v>0</v>
          </cell>
        </row>
        <row r="78">
          <cell r="O78">
            <v>0</v>
          </cell>
        </row>
        <row r="84">
          <cell r="O84">
            <v>-473.4079999999999</v>
          </cell>
        </row>
        <row r="87">
          <cell r="O87">
            <v>-44.239000000000004</v>
          </cell>
        </row>
        <row r="91">
          <cell r="J91">
            <v>2873.4</v>
          </cell>
        </row>
        <row r="92">
          <cell r="M92">
            <v>-792.202</v>
          </cell>
        </row>
        <row r="93">
          <cell r="L93">
            <v>0</v>
          </cell>
        </row>
        <row r="95">
          <cell r="K95">
            <v>98.994</v>
          </cell>
          <cell r="O95">
            <v>-98.994</v>
          </cell>
        </row>
        <row r="96">
          <cell r="K96">
            <v>-207.967</v>
          </cell>
          <cell r="N96">
            <v>207.967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8"/>
  <sheetViews>
    <sheetView tabSelected="1" workbookViewId="0" topLeftCell="A35">
      <selection activeCell="A1" sqref="A1:L42"/>
    </sheetView>
  </sheetViews>
  <sheetFormatPr defaultColWidth="9.140625" defaultRowHeight="12.75"/>
  <cols>
    <col min="1" max="4" width="9.140625" style="2" customWidth="1"/>
    <col min="5" max="5" width="15.7109375" style="3" customWidth="1"/>
    <col min="6" max="6" width="2.28125" style="2" customWidth="1"/>
    <col min="7" max="7" width="15.57421875" style="3" customWidth="1"/>
    <col min="8" max="8" width="1.8515625" style="2" customWidth="1"/>
    <col min="9" max="9" width="15.57421875" style="2" customWidth="1"/>
    <col min="10" max="10" width="1.421875" style="2" customWidth="1"/>
    <col min="11" max="11" width="15.57421875" style="2" customWidth="1"/>
    <col min="12" max="12" width="1.28515625" style="2" customWidth="1"/>
    <col min="13" max="16384" width="9.140625" style="2" customWidth="1"/>
  </cols>
  <sheetData>
    <row r="1" ht="15.75">
      <c r="A1" s="1" t="s">
        <v>0</v>
      </c>
    </row>
    <row r="2" ht="15.75">
      <c r="A2" s="4" t="s">
        <v>1</v>
      </c>
    </row>
    <row r="3" ht="15.75">
      <c r="A3" s="5" t="s">
        <v>2</v>
      </c>
    </row>
    <row r="4" ht="12.75">
      <c r="A4" s="6"/>
    </row>
    <row r="5" spans="1:11" ht="12.75">
      <c r="A5" s="7"/>
      <c r="E5" s="137" t="s">
        <v>3</v>
      </c>
      <c r="F5" s="137"/>
      <c r="G5" s="137"/>
      <c r="I5" s="137" t="s">
        <v>4</v>
      </c>
      <c r="J5" s="137"/>
      <c r="K5" s="137"/>
    </row>
    <row r="6" spans="1:11" ht="12.75">
      <c r="A6" s="7"/>
      <c r="E6" s="3" t="s">
        <v>5</v>
      </c>
      <c r="F6" s="3"/>
      <c r="G6" s="3" t="s">
        <v>6</v>
      </c>
      <c r="I6" s="3" t="s">
        <v>5</v>
      </c>
      <c r="J6" s="3"/>
      <c r="K6" s="3" t="s">
        <v>6</v>
      </c>
    </row>
    <row r="7" spans="1:11" ht="12.75">
      <c r="A7" s="8"/>
      <c r="E7" s="3" t="s">
        <v>7</v>
      </c>
      <c r="F7" s="3"/>
      <c r="G7" s="3" t="s">
        <v>7</v>
      </c>
      <c r="I7" s="3" t="s">
        <v>7</v>
      </c>
      <c r="J7" s="3"/>
      <c r="K7" s="3" t="s">
        <v>7</v>
      </c>
    </row>
    <row r="8" spans="1:11" ht="12.75">
      <c r="A8" s="7"/>
      <c r="E8" s="3" t="s">
        <v>8</v>
      </c>
      <c r="F8" s="3"/>
      <c r="G8" s="3" t="s">
        <v>9</v>
      </c>
      <c r="I8" s="3" t="s">
        <v>10</v>
      </c>
      <c r="J8" s="3"/>
      <c r="K8" s="3" t="s">
        <v>9</v>
      </c>
    </row>
    <row r="9" spans="1:11" ht="12.75">
      <c r="A9" s="7"/>
      <c r="F9" s="3"/>
      <c r="G9" s="3" t="s">
        <v>8</v>
      </c>
      <c r="I9" s="3"/>
      <c r="J9" s="3"/>
      <c r="K9" s="3" t="s">
        <v>11</v>
      </c>
    </row>
    <row r="10" spans="1:11" ht="12.75">
      <c r="A10" s="7"/>
      <c r="F10" s="3"/>
      <c r="G10" s="3" t="s">
        <v>12</v>
      </c>
      <c r="I10" s="3"/>
      <c r="J10" s="3"/>
      <c r="K10" s="3" t="s">
        <v>12</v>
      </c>
    </row>
    <row r="11" spans="1:11" ht="12.75">
      <c r="A11" s="7"/>
      <c r="E11" s="125" t="s">
        <v>13</v>
      </c>
      <c r="F11" s="3"/>
      <c r="G11" s="9" t="s">
        <v>14</v>
      </c>
      <c r="I11" s="9" t="s">
        <v>15</v>
      </c>
      <c r="J11" s="3"/>
      <c r="K11" s="9" t="s">
        <v>16</v>
      </c>
    </row>
    <row r="12" spans="1:11" ht="12.75">
      <c r="A12" s="7"/>
      <c r="E12" s="3" t="s">
        <v>17</v>
      </c>
      <c r="F12" s="3"/>
      <c r="G12" s="3" t="s">
        <v>17</v>
      </c>
      <c r="I12" s="3" t="s">
        <v>17</v>
      </c>
      <c r="J12" s="3"/>
      <c r="K12" s="3" t="s">
        <v>17</v>
      </c>
    </row>
    <row r="13" ht="12.75">
      <c r="A13" s="10" t="s">
        <v>18</v>
      </c>
    </row>
    <row r="14" spans="1:11" ht="12.75">
      <c r="A14" s="7" t="s">
        <v>19</v>
      </c>
      <c r="E14" s="126">
        <f>'[1]ConPL(1stQ)'!$Q$17/1000</f>
        <v>54174.403300000005</v>
      </c>
      <c r="F14" s="11"/>
      <c r="G14" s="12">
        <v>50902</v>
      </c>
      <c r="H14" s="11"/>
      <c r="I14" s="12">
        <f>E14</f>
        <v>54174.403300000005</v>
      </c>
      <c r="J14" s="11"/>
      <c r="K14" s="12">
        <f>G14</f>
        <v>50902</v>
      </c>
    </row>
    <row r="15" spans="1:11" ht="12.75">
      <c r="A15" s="7" t="s">
        <v>20</v>
      </c>
      <c r="E15" s="127">
        <f>E14-E16</f>
        <v>45695.879140000005</v>
      </c>
      <c r="F15" s="13"/>
      <c r="G15" s="128">
        <f>G14-G16</f>
        <v>41803</v>
      </c>
      <c r="H15" s="13"/>
      <c r="I15" s="128">
        <f>I14-I16</f>
        <v>45695.879140000005</v>
      </c>
      <c r="J15" s="13"/>
      <c r="K15" s="128">
        <f>K14-K16</f>
        <v>41803</v>
      </c>
    </row>
    <row r="16" spans="1:11" ht="12.75">
      <c r="A16" s="7" t="s">
        <v>21</v>
      </c>
      <c r="E16" s="24">
        <f>'[1]ConPL(1stQ)'!$Q$25/1000</f>
        <v>8478.524160000004</v>
      </c>
      <c r="F16" s="14"/>
      <c r="G16" s="11">
        <v>9099</v>
      </c>
      <c r="H16" s="14"/>
      <c r="I16" s="11">
        <f>E16</f>
        <v>8478.524160000004</v>
      </c>
      <c r="J16" s="14"/>
      <c r="K16" s="11">
        <f>G16</f>
        <v>9099</v>
      </c>
    </row>
    <row r="17" spans="1:11" ht="12.75">
      <c r="A17" s="7"/>
      <c r="E17" s="129"/>
      <c r="F17" s="14"/>
      <c r="G17" s="14"/>
      <c r="H17" s="14"/>
      <c r="I17" s="14"/>
      <c r="J17" s="14"/>
      <c r="K17" s="14"/>
    </row>
    <row r="18" spans="1:11" ht="12.75">
      <c r="A18" s="15" t="s">
        <v>22</v>
      </c>
      <c r="B18" s="16"/>
      <c r="C18" s="16"/>
      <c r="D18" s="16"/>
      <c r="E18" s="24">
        <f>SUM('[1]ConPL(1stQ)'!$Q$26:$Q$27)/1000+'[1]ConPL(1stQ)'!$Q$38/1000</f>
        <v>575.33385</v>
      </c>
      <c r="F18" s="11"/>
      <c r="G18" s="11">
        <f>SUM('[2]NetConPL(1st qtr)'!$O$26,'[2]NetConPL(1st qtr)'!$O$37)/1000-97</f>
        <v>72.37700000000001</v>
      </c>
      <c r="H18" s="11"/>
      <c r="I18" s="11">
        <f>E18</f>
        <v>575.33385</v>
      </c>
      <c r="J18" s="11"/>
      <c r="K18" s="11">
        <f>G18</f>
        <v>72.37700000000001</v>
      </c>
    </row>
    <row r="19" spans="1:11" ht="12.75">
      <c r="A19" s="15" t="s">
        <v>23</v>
      </c>
      <c r="B19" s="16"/>
      <c r="C19" s="16"/>
      <c r="D19" s="16"/>
      <c r="E19" s="24">
        <f>-SUM('[1]ConPL(1stQ)'!$Q$31,'[1]ConPL(1stQ)'!$Q$34)/1000</f>
        <v>-3235.2488099999996</v>
      </c>
      <c r="F19" s="11"/>
      <c r="G19" s="11">
        <f>-SUM('[2]NetConPL(1st qtr)'!$O$31,'[2]NetConPL(1st qtr)'!$O$33)/1000-G20</f>
        <v>-2855.533</v>
      </c>
      <c r="H19" s="11"/>
      <c r="I19" s="11">
        <f>E19</f>
        <v>-3235.2488099999996</v>
      </c>
      <c r="J19" s="11"/>
      <c r="K19" s="11">
        <f>G19</f>
        <v>-2855.533</v>
      </c>
    </row>
    <row r="20" spans="1:11" ht="12.75">
      <c r="A20" s="17" t="s">
        <v>24</v>
      </c>
      <c r="B20" s="16"/>
      <c r="C20" s="16"/>
      <c r="D20" s="16"/>
      <c r="E20" s="24">
        <f>-SUM('[1]ConPL(1stQ)'!$Q$32/1000)</f>
        <v>-2479.4667400000003</v>
      </c>
      <c r="F20" s="11"/>
      <c r="G20" s="11">
        <f>-2154347/1000</f>
        <v>-2154.347</v>
      </c>
      <c r="H20" s="11"/>
      <c r="I20" s="11">
        <f>E20</f>
        <v>-2479.4667400000003</v>
      </c>
      <c r="J20" s="11"/>
      <c r="K20" s="11">
        <f>G20</f>
        <v>-2154.347</v>
      </c>
    </row>
    <row r="21" spans="1:11" ht="12.75">
      <c r="A21" s="15" t="s">
        <v>25</v>
      </c>
      <c r="B21" s="16"/>
      <c r="C21" s="16"/>
      <c r="D21" s="16"/>
      <c r="E21" s="24">
        <f>-'[1]ConPL(1stQ)'!$Q$33/1000</f>
        <v>-466.08312</v>
      </c>
      <c r="F21" s="11"/>
      <c r="G21" s="11">
        <f>('[2]NetConPL(1st qtr)'!$O$27-'[2]NetConPL(1st qtr)'!$O$32)/1000</f>
        <v>-285.589</v>
      </c>
      <c r="H21" s="11"/>
      <c r="I21" s="11">
        <f>E21</f>
        <v>-466.08312</v>
      </c>
      <c r="J21" s="11"/>
      <c r="K21" s="11">
        <f>G21</f>
        <v>-285.589</v>
      </c>
    </row>
    <row r="22" spans="1:11" ht="12.75">
      <c r="A22" s="15"/>
      <c r="B22" s="16"/>
      <c r="C22" s="16"/>
      <c r="D22" s="16"/>
      <c r="E22" s="130"/>
      <c r="F22" s="13"/>
      <c r="G22" s="13"/>
      <c r="H22" s="13"/>
      <c r="I22" s="13"/>
      <c r="J22" s="13"/>
      <c r="K22" s="13"/>
    </row>
    <row r="23" spans="1:11" ht="12.75">
      <c r="A23" s="18" t="s">
        <v>26</v>
      </c>
      <c r="B23" s="16"/>
      <c r="C23" s="16"/>
      <c r="D23" s="16"/>
      <c r="E23" s="24">
        <f>SUM(E16:E22)</f>
        <v>2873.0593400000043</v>
      </c>
      <c r="F23" s="11"/>
      <c r="G23" s="11">
        <f>SUM(G16:G22)</f>
        <v>3875.9080000000013</v>
      </c>
      <c r="H23" s="11"/>
      <c r="I23" s="11">
        <f>SUM(I16:I22)</f>
        <v>2873.0593400000043</v>
      </c>
      <c r="J23" s="11"/>
      <c r="K23" s="11">
        <f>SUM(K16:K22)</f>
        <v>3875.9080000000013</v>
      </c>
    </row>
    <row r="24" spans="1:11" ht="12.75">
      <c r="A24" s="15"/>
      <c r="B24" s="16"/>
      <c r="C24" s="16"/>
      <c r="D24" s="16"/>
      <c r="E24" s="24"/>
      <c r="F24" s="11"/>
      <c r="G24" s="11"/>
      <c r="H24" s="11"/>
      <c r="I24" s="11"/>
      <c r="J24" s="11"/>
      <c r="K24" s="11"/>
    </row>
    <row r="25" spans="1:11" ht="12.75">
      <c r="A25" s="15" t="s">
        <v>27</v>
      </c>
      <c r="B25" s="16"/>
      <c r="C25" s="16"/>
      <c r="D25" s="16"/>
      <c r="E25" s="24">
        <f>'[1]ConPL(1stQ)'!$Q$40/1000</f>
        <v>-792.6020100000001</v>
      </c>
      <c r="F25" s="11"/>
      <c r="G25" s="11">
        <f>'[2]NetConPL(1st qtr)'!$O$39/1000</f>
        <v>-744.102</v>
      </c>
      <c r="H25" s="11"/>
      <c r="I25" s="11">
        <f>E25</f>
        <v>-792.6020100000001</v>
      </c>
      <c r="J25" s="11"/>
      <c r="K25" s="11">
        <f>G25</f>
        <v>-744.102</v>
      </c>
    </row>
    <row r="26" spans="1:11" ht="12.75">
      <c r="A26" s="19"/>
      <c r="B26" s="16"/>
      <c r="C26" s="16"/>
      <c r="D26" s="16"/>
      <c r="E26" s="24"/>
      <c r="F26" s="11"/>
      <c r="G26" s="11"/>
      <c r="H26" s="11"/>
      <c r="I26" s="11"/>
      <c r="J26" s="11"/>
      <c r="K26" s="11"/>
    </row>
    <row r="27" spans="1:11" ht="12.75">
      <c r="A27" s="18" t="s">
        <v>28</v>
      </c>
      <c r="B27" s="16"/>
      <c r="C27" s="16"/>
      <c r="D27" s="16"/>
      <c r="E27" s="131">
        <f>SUM(E23:E26)</f>
        <v>2080.4573300000043</v>
      </c>
      <c r="F27" s="20"/>
      <c r="G27" s="20">
        <f>SUM(G23:G26)</f>
        <v>3131.8060000000014</v>
      </c>
      <c r="H27" s="20"/>
      <c r="I27" s="20">
        <f>SUM(I23:I26)</f>
        <v>2080.4573300000043</v>
      </c>
      <c r="J27" s="20"/>
      <c r="K27" s="20">
        <f>SUM(K23:K26)</f>
        <v>3131.8060000000014</v>
      </c>
    </row>
    <row r="28" spans="1:11" ht="12.75">
      <c r="A28" s="15"/>
      <c r="B28" s="16"/>
      <c r="C28" s="16"/>
      <c r="D28" s="16"/>
      <c r="E28" s="24"/>
      <c r="F28" s="11"/>
      <c r="G28" s="11"/>
      <c r="H28" s="11"/>
      <c r="I28" s="11"/>
      <c r="J28" s="11"/>
      <c r="K28" s="11"/>
    </row>
    <row r="29" spans="1:11" ht="12.75">
      <c r="A29" s="15" t="s">
        <v>29</v>
      </c>
      <c r="B29" s="16"/>
      <c r="C29" s="16"/>
      <c r="D29" s="16"/>
      <c r="E29" s="24"/>
      <c r="F29" s="11"/>
      <c r="G29" s="11"/>
      <c r="H29" s="11"/>
      <c r="I29" s="11"/>
      <c r="J29" s="11"/>
      <c r="K29" s="11"/>
    </row>
    <row r="30" spans="1:11" ht="12.75">
      <c r="A30" s="17" t="s">
        <v>30</v>
      </c>
      <c r="B30" s="16"/>
      <c r="C30" s="16"/>
      <c r="D30" s="16"/>
      <c r="E30" s="24">
        <f>E27-E31</f>
        <v>2224.8245945239314</v>
      </c>
      <c r="F30" s="11"/>
      <c r="G30" s="11">
        <f>G27-G31</f>
        <v>2906.0639800000013</v>
      </c>
      <c r="H30" s="11"/>
      <c r="I30" s="11">
        <f>E30</f>
        <v>2224.8245945239314</v>
      </c>
      <c r="J30" s="11"/>
      <c r="K30" s="11">
        <f>G30</f>
        <v>2906.0639800000013</v>
      </c>
    </row>
    <row r="31" spans="1:11" ht="12.75">
      <c r="A31" s="15" t="s">
        <v>31</v>
      </c>
      <c r="B31" s="16"/>
      <c r="C31" s="16"/>
      <c r="D31" s="16"/>
      <c r="E31" s="24">
        <f>-'[1]ConPL(1stQ)'!$Q$44/1000</f>
        <v>-144.3672645239272</v>
      </c>
      <c r="F31" s="11"/>
      <c r="G31" s="11">
        <f>-'[2]NetConPL(1st qtr)'!$O$43/1000</f>
        <v>225.74202</v>
      </c>
      <c r="H31" s="11"/>
      <c r="I31" s="11">
        <f>E31</f>
        <v>-144.3672645239272</v>
      </c>
      <c r="J31" s="11"/>
      <c r="K31" s="11">
        <f>G31</f>
        <v>225.74202</v>
      </c>
    </row>
    <row r="32" spans="1:11" ht="12.75">
      <c r="A32" s="15"/>
      <c r="B32" s="16"/>
      <c r="C32" s="16"/>
      <c r="D32" s="16"/>
      <c r="E32" s="24"/>
      <c r="F32" s="11"/>
      <c r="G32" s="21"/>
      <c r="H32" s="11"/>
      <c r="I32" s="21"/>
      <c r="J32" s="11"/>
      <c r="K32" s="21"/>
    </row>
    <row r="33" spans="1:11" ht="12.75">
      <c r="A33" s="15"/>
      <c r="B33" s="16"/>
      <c r="C33" s="16"/>
      <c r="D33" s="16"/>
      <c r="E33" s="131">
        <f>SUM(E30:E32)</f>
        <v>2080.4573300000043</v>
      </c>
      <c r="F33" s="20"/>
      <c r="G33" s="20">
        <f>SUM(G30:G32)</f>
        <v>3131.8060000000014</v>
      </c>
      <c r="H33" s="20"/>
      <c r="I33" s="20">
        <f>SUM(I29:I32)</f>
        <v>2080.4573300000043</v>
      </c>
      <c r="J33" s="20"/>
      <c r="K33" s="20">
        <f>G33</f>
        <v>3131.8060000000014</v>
      </c>
    </row>
    <row r="34" spans="1:11" ht="12.75">
      <c r="A34" s="19"/>
      <c r="B34" s="16"/>
      <c r="C34" s="16"/>
      <c r="D34" s="16"/>
      <c r="E34" s="24"/>
      <c r="F34" s="11"/>
      <c r="G34" s="11"/>
      <c r="H34" s="11"/>
      <c r="I34" s="11"/>
      <c r="J34" s="11"/>
      <c r="K34" s="11"/>
    </row>
    <row r="35" spans="1:11" ht="12.75">
      <c r="A35" s="18" t="s">
        <v>32</v>
      </c>
      <c r="B35" s="16"/>
      <c r="C35" s="16"/>
      <c r="D35" s="16"/>
      <c r="E35" s="24"/>
      <c r="F35" s="11"/>
      <c r="G35" s="11"/>
      <c r="H35" s="11"/>
      <c r="I35" s="11"/>
      <c r="J35" s="11"/>
      <c r="K35" s="11"/>
    </row>
    <row r="36" spans="1:11" ht="12.75">
      <c r="A36" s="17" t="s">
        <v>33</v>
      </c>
      <c r="B36" s="16"/>
      <c r="C36" s="16"/>
      <c r="D36" s="16"/>
      <c r="E36" s="23">
        <v>1.62</v>
      </c>
      <c r="F36" s="22"/>
      <c r="G36" s="23">
        <v>2.4</v>
      </c>
      <c r="H36" s="22"/>
      <c r="I36" s="22">
        <v>1.62</v>
      </c>
      <c r="J36" s="22"/>
      <c r="K36" s="23">
        <v>2.4</v>
      </c>
    </row>
    <row r="37" spans="1:11" ht="12.75">
      <c r="A37" s="19"/>
      <c r="B37" s="16"/>
      <c r="C37" s="16"/>
      <c r="D37" s="16"/>
      <c r="E37" s="24"/>
      <c r="F37" s="11"/>
      <c r="G37" s="24"/>
      <c r="H37" s="11"/>
      <c r="I37" s="11"/>
      <c r="J37" s="11"/>
      <c r="K37" s="24"/>
    </row>
    <row r="38" spans="1:11" ht="12.75">
      <c r="A38" s="15" t="s">
        <v>34</v>
      </c>
      <c r="B38" s="25"/>
      <c r="C38" s="16"/>
      <c r="D38" s="16"/>
      <c r="E38" s="26" t="s">
        <v>35</v>
      </c>
      <c r="F38" s="11"/>
      <c r="G38" s="26" t="s">
        <v>35</v>
      </c>
      <c r="H38" s="27"/>
      <c r="I38" s="26" t="s">
        <v>35</v>
      </c>
      <c r="J38" s="27"/>
      <c r="K38" s="26" t="s">
        <v>35</v>
      </c>
    </row>
    <row r="39" spans="1:11" ht="12.75">
      <c r="A39" s="19"/>
      <c r="B39" s="25"/>
      <c r="C39" s="16"/>
      <c r="D39" s="16"/>
      <c r="E39" s="23"/>
      <c r="F39" s="21"/>
      <c r="G39" s="28"/>
      <c r="H39" s="29"/>
      <c r="I39" s="28"/>
      <c r="J39" s="29"/>
      <c r="K39" s="26"/>
    </row>
    <row r="40" spans="1:11" s="30" customFormat="1" ht="26.25" customHeight="1">
      <c r="A40" s="138" t="s">
        <v>36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12.75">
      <c r="A41" s="19"/>
      <c r="B41" s="16"/>
      <c r="C41" s="16"/>
      <c r="D41" s="16"/>
      <c r="E41" s="31"/>
      <c r="F41" s="31"/>
      <c r="G41" s="29"/>
      <c r="H41" s="31"/>
      <c r="I41" s="29"/>
      <c r="J41" s="27"/>
      <c r="K41" s="32"/>
    </row>
    <row r="42" spans="1:11" ht="12.75">
      <c r="A42" s="15"/>
      <c r="B42" s="16"/>
      <c r="C42" s="16"/>
      <c r="D42" s="16"/>
      <c r="E42" s="24"/>
      <c r="F42" s="11"/>
      <c r="G42" s="24"/>
      <c r="H42" s="11"/>
      <c r="I42" s="11"/>
      <c r="J42" s="11"/>
      <c r="K42" s="24"/>
    </row>
    <row r="43" spans="1:11" ht="12.75">
      <c r="A43" s="19"/>
      <c r="B43" s="16"/>
      <c r="C43" s="16"/>
      <c r="D43" s="16"/>
      <c r="E43" s="33"/>
      <c r="F43" s="16"/>
      <c r="G43" s="33"/>
      <c r="H43" s="16"/>
      <c r="I43" s="16"/>
      <c r="J43" s="16"/>
      <c r="K43" s="33"/>
    </row>
    <row r="44" spans="1:11" ht="12.75">
      <c r="A44" s="19"/>
      <c r="B44" s="16"/>
      <c r="C44" s="16"/>
      <c r="D44" s="16"/>
      <c r="E44" s="33"/>
      <c r="F44" s="16"/>
      <c r="G44" s="33"/>
      <c r="H44" s="16"/>
      <c r="I44" s="16"/>
      <c r="J44" s="16"/>
      <c r="K44" s="33"/>
    </row>
    <row r="45" ht="12.75">
      <c r="K45" s="3"/>
    </row>
    <row r="46" spans="1:11" ht="12.75">
      <c r="A46" s="34"/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</sheetData>
  <sheetProtection/>
  <mergeCells count="3">
    <mergeCell ref="E5:G5"/>
    <mergeCell ref="I5:K5"/>
    <mergeCell ref="A40:K40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54"/>
  <sheetViews>
    <sheetView workbookViewId="0" topLeftCell="A33">
      <selection activeCell="A1" sqref="A1:G56"/>
    </sheetView>
  </sheetViews>
  <sheetFormatPr defaultColWidth="9.140625" defaultRowHeight="12.75"/>
  <cols>
    <col min="1" max="1" width="60.00390625" style="36" customWidth="1"/>
    <col min="2" max="2" width="6.7109375" style="36" customWidth="1"/>
    <col min="3" max="3" width="18.28125" style="36" customWidth="1"/>
    <col min="4" max="4" width="17.7109375" style="36" hidden="1" customWidth="1"/>
    <col min="5" max="5" width="17.7109375" style="36" customWidth="1"/>
    <col min="6" max="6" width="17.7109375" style="36" hidden="1" customWidth="1"/>
    <col min="7" max="7" width="1.8515625" style="36" customWidth="1"/>
    <col min="8" max="16384" width="9.140625" style="36" customWidth="1"/>
  </cols>
  <sheetData>
    <row r="1" spans="1:5" ht="18.75" customHeight="1">
      <c r="A1" s="35" t="str">
        <f>PL!A1</f>
        <v>Jaycorp Berhad  ( Formerly known as Yeo Aik Resources Berhad )</v>
      </c>
      <c r="C1" s="37"/>
      <c r="D1" s="37"/>
      <c r="E1" s="37"/>
    </row>
    <row r="2" spans="1:6" ht="15.75">
      <c r="A2" s="38"/>
      <c r="C2" s="39"/>
      <c r="D2" s="39"/>
      <c r="E2" s="39"/>
      <c r="F2" s="40"/>
    </row>
    <row r="3" spans="1:6" ht="15.75">
      <c r="A3" s="139" t="s">
        <v>37</v>
      </c>
      <c r="B3" s="139"/>
      <c r="C3" s="139"/>
      <c r="D3" s="139"/>
      <c r="E3" s="139"/>
      <c r="F3" s="40" t="s">
        <v>38</v>
      </c>
    </row>
    <row r="4" spans="1:6" ht="15.75">
      <c r="A4" s="140" t="s">
        <v>39</v>
      </c>
      <c r="B4" s="140"/>
      <c r="C4" s="140"/>
      <c r="D4" s="140"/>
      <c r="E4" s="140"/>
      <c r="F4" s="41" t="e">
        <f>#REF!</f>
        <v>#REF!</v>
      </c>
    </row>
    <row r="5" spans="1:6" ht="15.75">
      <c r="A5" s="139" t="s">
        <v>40</v>
      </c>
      <c r="B5" s="139"/>
      <c r="C5" s="139"/>
      <c r="D5" s="139"/>
      <c r="E5" s="139"/>
      <c r="F5" s="41"/>
    </row>
    <row r="6" spans="1:6" ht="15.75">
      <c r="A6" s="42"/>
      <c r="B6" s="42"/>
      <c r="C6" s="42"/>
      <c r="D6" s="42"/>
      <c r="E6" s="39" t="s">
        <v>41</v>
      </c>
      <c r="F6" s="41"/>
    </row>
    <row r="7" spans="1:6" ht="15.75">
      <c r="A7" s="42"/>
      <c r="B7" s="42"/>
      <c r="C7" s="43">
        <v>39020</v>
      </c>
      <c r="D7" s="39"/>
      <c r="E7" s="43">
        <v>38929</v>
      </c>
      <c r="F7" s="41"/>
    </row>
    <row r="8" spans="1:6" ht="15.75">
      <c r="A8" s="44"/>
      <c r="C8" s="39" t="s">
        <v>17</v>
      </c>
      <c r="D8" s="39" t="s">
        <v>17</v>
      </c>
      <c r="E8" s="39" t="s">
        <v>17</v>
      </c>
      <c r="F8" s="41"/>
    </row>
    <row r="9" spans="1:5" ht="15.75">
      <c r="A9" s="38" t="s">
        <v>42</v>
      </c>
      <c r="C9" s="39"/>
      <c r="D9" s="39"/>
      <c r="E9" s="39" t="s">
        <v>12</v>
      </c>
    </row>
    <row r="10" spans="1:6" ht="15.75">
      <c r="A10" s="36" t="s">
        <v>43</v>
      </c>
      <c r="C10" s="46">
        <f>58871-C11</f>
        <v>55009</v>
      </c>
      <c r="D10" s="46"/>
      <c r="E10" s="46">
        <f>59214-E11</f>
        <v>55333</v>
      </c>
      <c r="F10" s="46" t="e">
        <f>E10-#REF!</f>
        <v>#REF!</v>
      </c>
    </row>
    <row r="11" spans="1:6" ht="15.75">
      <c r="A11" s="36" t="s">
        <v>44</v>
      </c>
      <c r="C11" s="46">
        <v>3862</v>
      </c>
      <c r="D11" s="46"/>
      <c r="E11" s="46">
        <v>3881</v>
      </c>
      <c r="F11" s="46"/>
    </row>
    <row r="12" spans="1:6" ht="15.75">
      <c r="A12" s="36" t="s">
        <v>45</v>
      </c>
      <c r="C12" s="46">
        <v>17</v>
      </c>
      <c r="D12" s="46"/>
      <c r="E12" s="46">
        <v>17</v>
      </c>
      <c r="F12" s="46"/>
    </row>
    <row r="13" spans="1:6" ht="15.75">
      <c r="A13" s="36" t="s">
        <v>46</v>
      </c>
      <c r="C13" s="47">
        <v>2099</v>
      </c>
      <c r="D13" s="47"/>
      <c r="E13" s="47">
        <v>2216</v>
      </c>
      <c r="F13" s="46" t="e">
        <f>E13-#REF!</f>
        <v>#REF!</v>
      </c>
    </row>
    <row r="14" spans="3:5" ht="15.75">
      <c r="C14" s="132">
        <f>SUM(C9:C13)</f>
        <v>60987</v>
      </c>
      <c r="D14" s="132">
        <f>SUM(D9:D13)</f>
        <v>0</v>
      </c>
      <c r="E14" s="132">
        <f>SUM(E9:E13)</f>
        <v>61447</v>
      </c>
    </row>
    <row r="15" ht="15.75">
      <c r="A15" s="38" t="s">
        <v>47</v>
      </c>
    </row>
    <row r="16" spans="1:6" ht="15.75">
      <c r="A16" s="36" t="s">
        <v>48</v>
      </c>
      <c r="C16" s="46">
        <v>39540</v>
      </c>
      <c r="D16" s="46"/>
      <c r="E16" s="46">
        <v>38843</v>
      </c>
      <c r="F16" s="46" t="e">
        <f>E16-#REF!</f>
        <v>#REF!</v>
      </c>
    </row>
    <row r="17" spans="1:8" ht="15.75">
      <c r="A17" s="36" t="s">
        <v>49</v>
      </c>
      <c r="B17" s="48"/>
      <c r="C17" s="46">
        <f>27043715/1000+0.4</f>
        <v>27044.115</v>
      </c>
      <c r="D17" s="46"/>
      <c r="E17" s="46">
        <v>25365</v>
      </c>
      <c r="F17" s="46" t="e">
        <f>E17-#REF!</f>
        <v>#REF!</v>
      </c>
      <c r="H17" s="45"/>
    </row>
    <row r="18" spans="1:6" ht="15.75">
      <c r="A18" s="36" t="s">
        <v>50</v>
      </c>
      <c r="C18" s="46">
        <f>(5616520+287178)/1000</f>
        <v>5903.698</v>
      </c>
      <c r="D18" s="46"/>
      <c r="E18" s="46">
        <f>6193+696+291</f>
        <v>7180</v>
      </c>
      <c r="F18" s="46"/>
    </row>
    <row r="19" spans="1:6" ht="15.75">
      <c r="A19" s="36" t="s">
        <v>51</v>
      </c>
      <c r="C19" s="47">
        <v>18713</v>
      </c>
      <c r="D19" s="46"/>
      <c r="E19" s="46">
        <v>15686</v>
      </c>
      <c r="F19" s="46" t="e">
        <f>E19-#REF!</f>
        <v>#REF!</v>
      </c>
    </row>
    <row r="20" spans="3:6" ht="15.75">
      <c r="C20" s="132">
        <f>SUM(C16:C19)</f>
        <v>91200.81300000001</v>
      </c>
      <c r="D20" s="132">
        <f>SUM(D16:D19)</f>
        <v>0</v>
      </c>
      <c r="E20" s="132">
        <f>SUM(E16:E19)</f>
        <v>87074</v>
      </c>
      <c r="F20" s="46" t="e">
        <f>SUM(F16:F19)</f>
        <v>#REF!</v>
      </c>
    </row>
    <row r="21" spans="1:6" ht="16.5" thickBot="1">
      <c r="A21" s="38" t="s">
        <v>52</v>
      </c>
      <c r="C21" s="133">
        <f>SUM(C14,C20)</f>
        <v>152187.81300000002</v>
      </c>
      <c r="D21" s="133">
        <f>SUM(D14,D20)</f>
        <v>0</v>
      </c>
      <c r="E21" s="133">
        <f>SUM(E14,E20)</f>
        <v>148521</v>
      </c>
      <c r="F21" s="46"/>
    </row>
    <row r="22" spans="3:6" ht="16.5" thickTop="1">
      <c r="C22" s="46"/>
      <c r="D22" s="46"/>
      <c r="E22" s="46"/>
      <c r="F22" s="46"/>
    </row>
    <row r="23" ht="15.75">
      <c r="A23" s="38" t="s">
        <v>53</v>
      </c>
    </row>
    <row r="24" ht="15.75">
      <c r="A24" s="38" t="s">
        <v>54</v>
      </c>
    </row>
    <row r="25" spans="1:6" ht="15.75">
      <c r="A25" s="36" t="s">
        <v>55</v>
      </c>
      <c r="C25" s="46">
        <v>68625</v>
      </c>
      <c r="D25" s="46"/>
      <c r="E25" s="46">
        <f>68625</f>
        <v>68625</v>
      </c>
      <c r="F25" s="46" t="e">
        <f>#REF!-E25</f>
        <v>#REF!</v>
      </c>
    </row>
    <row r="26" spans="1:6" ht="15.75">
      <c r="A26" s="36" t="s">
        <v>56</v>
      </c>
      <c r="C26" s="46">
        <v>930</v>
      </c>
      <c r="D26" s="46"/>
      <c r="E26" s="46">
        <v>930</v>
      </c>
      <c r="F26" s="46"/>
    </row>
    <row r="27" spans="1:6" ht="15.75">
      <c r="A27" s="36" t="s">
        <v>57</v>
      </c>
      <c r="C27" s="46">
        <f>-1725408/1000</f>
        <v>-1725.408</v>
      </c>
      <c r="D27" s="46"/>
      <c r="E27" s="46">
        <v>-1252</v>
      </c>
      <c r="F27" s="46"/>
    </row>
    <row r="28" spans="1:6" ht="15.75">
      <c r="A28" s="36" t="s">
        <v>58</v>
      </c>
      <c r="C28" s="46">
        <f>-163239/1000</f>
        <v>-163.239</v>
      </c>
      <c r="D28" s="46"/>
      <c r="E28" s="46">
        <v>-119</v>
      </c>
      <c r="F28" s="46"/>
    </row>
    <row r="29" spans="1:6" ht="15.75">
      <c r="A29" s="36" t="s">
        <v>59</v>
      </c>
      <c r="C29" s="47">
        <f>33678255/1000</f>
        <v>33678.255</v>
      </c>
      <c r="D29" s="47">
        <v>93553</v>
      </c>
      <c r="E29" s="47">
        <f>29138+2315</f>
        <v>31453</v>
      </c>
      <c r="F29" s="46" t="e">
        <f>#REF!-E29</f>
        <v>#REF!</v>
      </c>
    </row>
    <row r="30" spans="3:5" ht="15.75">
      <c r="C30" s="46">
        <f>SUM(C25:C29)</f>
        <v>101344.60800000001</v>
      </c>
      <c r="D30" s="46">
        <f>SUM(D25:D29)</f>
        <v>93553</v>
      </c>
      <c r="E30" s="46">
        <f>SUM(E25:E29)</f>
        <v>99637</v>
      </c>
    </row>
    <row r="31" spans="1:6" ht="15.75">
      <c r="A31" s="36" t="s">
        <v>31</v>
      </c>
      <c r="C31" s="49">
        <f>1934089/1000</f>
        <v>1934.089</v>
      </c>
      <c r="D31" s="49"/>
      <c r="E31" s="49">
        <v>2078</v>
      </c>
      <c r="F31" s="46"/>
    </row>
    <row r="32" spans="1:6" ht="15.75">
      <c r="A32" s="38" t="s">
        <v>60</v>
      </c>
      <c r="C32" s="134">
        <f>SUM(C30:C31)</f>
        <v>103278.69700000001</v>
      </c>
      <c r="D32" s="134">
        <f>SUM(D30:D31)</f>
        <v>93553</v>
      </c>
      <c r="E32" s="134">
        <f>SUM(E30:E31)</f>
        <v>101715</v>
      </c>
      <c r="F32" s="49"/>
    </row>
    <row r="33" spans="1:6" ht="15.75">
      <c r="A33" s="38"/>
      <c r="C33" s="49"/>
      <c r="D33" s="49"/>
      <c r="E33" s="49"/>
      <c r="F33" s="49"/>
    </row>
    <row r="34" ht="15.75">
      <c r="A34" s="38" t="s">
        <v>61</v>
      </c>
    </row>
    <row r="35" spans="1:6" ht="15.75">
      <c r="A35" s="36" t="s">
        <v>62</v>
      </c>
      <c r="C35" s="46">
        <v>19669</v>
      </c>
      <c r="D35" s="46"/>
      <c r="E35" s="46">
        <v>16645</v>
      </c>
      <c r="F35" s="46"/>
    </row>
    <row r="36" spans="1:6" ht="15.75">
      <c r="A36" s="36" t="s">
        <v>63</v>
      </c>
      <c r="C36" s="46">
        <v>379</v>
      </c>
      <c r="D36" s="46">
        <v>8342</v>
      </c>
      <c r="E36" s="46">
        <v>496</v>
      </c>
      <c r="F36" s="46" t="e">
        <f>#REF!-E36</f>
        <v>#REF!</v>
      </c>
    </row>
    <row r="37" spans="3:8" ht="15.75">
      <c r="C37" s="132">
        <f>SUM(C35:C36)</f>
        <v>20048</v>
      </c>
      <c r="D37" s="132">
        <f>SUM(D35:D36)</f>
        <v>8342</v>
      </c>
      <c r="E37" s="132">
        <f>SUM(E35:E36)</f>
        <v>17141</v>
      </c>
      <c r="F37" s="46" t="e">
        <f>#REF!-E37</f>
        <v>#REF!</v>
      </c>
      <c r="H37" s="46"/>
    </row>
    <row r="38" spans="3:8" ht="15.75">
      <c r="C38" s="46"/>
      <c r="D38" s="46"/>
      <c r="E38" s="46"/>
      <c r="F38" s="46"/>
      <c r="H38" s="46"/>
    </row>
    <row r="39" spans="1:8" ht="15.75">
      <c r="A39" s="38" t="s">
        <v>64</v>
      </c>
      <c r="C39" s="46"/>
      <c r="D39" s="46"/>
      <c r="E39" s="46"/>
      <c r="F39" s="46"/>
      <c r="H39" s="46"/>
    </row>
    <row r="40" spans="1:6" ht="15.75">
      <c r="A40" s="36" t="s">
        <v>65</v>
      </c>
      <c r="C40" s="46">
        <v>8570.4</v>
      </c>
      <c r="D40" s="46"/>
      <c r="E40" s="46">
        <v>10617</v>
      </c>
      <c r="F40" s="46" t="e">
        <f>#REF!-E40</f>
        <v>#REF!</v>
      </c>
    </row>
    <row r="41" spans="1:6" ht="15.75">
      <c r="A41" s="36" t="s">
        <v>66</v>
      </c>
      <c r="C41" s="46">
        <f>13247321/1000</f>
        <v>13247.321</v>
      </c>
      <c r="D41" s="46"/>
      <c r="E41" s="46">
        <v>12294</v>
      </c>
      <c r="F41" s="46" t="e">
        <f>#REF!-E41</f>
        <v>#REF!</v>
      </c>
    </row>
    <row r="42" spans="1:6" ht="15.75">
      <c r="A42" s="36" t="s">
        <v>67</v>
      </c>
      <c r="C42" s="46">
        <f>6927992/1000+115+0.4</f>
        <v>7043.392</v>
      </c>
      <c r="D42" s="46"/>
      <c r="E42" s="46">
        <f>6526+228</f>
        <v>6754</v>
      </c>
      <c r="F42" s="46"/>
    </row>
    <row r="43" spans="3:6" ht="15.75">
      <c r="C43" s="132">
        <f>SUM(C40:C42)</f>
        <v>28861.112999999998</v>
      </c>
      <c r="D43" s="132">
        <f>SUM(D40:D42)</f>
        <v>0</v>
      </c>
      <c r="E43" s="132">
        <f>SUM(E40:E42)</f>
        <v>29665</v>
      </c>
      <c r="F43" s="46" t="e">
        <f>SUM(F41:F42)</f>
        <v>#REF!</v>
      </c>
    </row>
    <row r="44" spans="1:6" ht="15.75">
      <c r="A44" s="38" t="s">
        <v>68</v>
      </c>
      <c r="C44" s="46">
        <f>SUM(C43,C37)</f>
        <v>48909.113</v>
      </c>
      <c r="D44" s="46"/>
      <c r="E44" s="46">
        <f>SUM(E43,E37)</f>
        <v>46806</v>
      </c>
      <c r="F44" s="46"/>
    </row>
    <row r="45" spans="1:6" ht="16.5" thickBot="1">
      <c r="A45" s="36" t="s">
        <v>69</v>
      </c>
      <c r="C45" s="133">
        <f>SUM(C32,C44)</f>
        <v>152187.81</v>
      </c>
      <c r="D45" s="133">
        <f>SUM(D32,D44)</f>
        <v>93553</v>
      </c>
      <c r="E45" s="133">
        <f>SUM(E32,E44)</f>
        <v>148521</v>
      </c>
      <c r="F45" s="46"/>
    </row>
    <row r="46" ht="16.5" thickTop="1"/>
    <row r="47" spans="1:8" ht="15.75">
      <c r="A47" s="36" t="s">
        <v>70</v>
      </c>
      <c r="C47" s="135">
        <v>0.75</v>
      </c>
      <c r="D47" s="50"/>
      <c r="E47" s="135">
        <v>0.73</v>
      </c>
      <c r="F47" s="51"/>
      <c r="H47" s="52"/>
    </row>
    <row r="49" spans="1:5" ht="15.75">
      <c r="A49" s="36" t="s">
        <v>71</v>
      </c>
      <c r="C49" s="53"/>
      <c r="D49" s="53"/>
      <c r="E49" s="53"/>
    </row>
    <row r="50" spans="1:5" ht="15.75" hidden="1">
      <c r="A50" s="54" t="s">
        <v>72</v>
      </c>
      <c r="C50" s="53"/>
      <c r="D50" s="53"/>
      <c r="E50" s="53"/>
    </row>
    <row r="51" ht="15.75" hidden="1">
      <c r="A51" s="54" t="s">
        <v>73</v>
      </c>
    </row>
    <row r="53" ht="15.75">
      <c r="A53" s="55" t="s">
        <v>74</v>
      </c>
    </row>
    <row r="54" ht="15.75">
      <c r="A54" s="55" t="s">
        <v>75</v>
      </c>
    </row>
  </sheetData>
  <sheetProtection/>
  <mergeCells count="3">
    <mergeCell ref="A3:E3"/>
    <mergeCell ref="A5:E5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7"/>
  <sheetViews>
    <sheetView zoomScale="90" zoomScaleNormal="90" workbookViewId="0" topLeftCell="A1">
      <selection activeCell="A1" sqref="A1:L40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3.57421875" style="0" customWidth="1"/>
    <col min="4" max="4" width="10.7109375" style="0" customWidth="1"/>
    <col min="5" max="5" width="11.8515625" style="0" customWidth="1"/>
    <col min="6" max="7" width="12.7109375" style="0" customWidth="1"/>
    <col min="8" max="9" width="12.421875" style="0" customWidth="1"/>
    <col min="10" max="10" width="10.57421875" style="0" customWidth="1"/>
    <col min="11" max="11" width="9.57421875" style="0" customWidth="1"/>
    <col min="12" max="12" width="9.57421875" style="0" bestFit="1" customWidth="1"/>
    <col min="13" max="13" width="4.57421875" style="0" customWidth="1"/>
  </cols>
  <sheetData>
    <row r="1" spans="1:12" ht="18">
      <c r="A1" s="56"/>
      <c r="B1" s="57" t="str">
        <f>'BS'!A1</f>
        <v>Jaycorp Berhad  ( Formerly known as Yeo Aik Resources Berhad )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2.7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12.75">
      <c r="B3" s="142" t="s">
        <v>76</v>
      </c>
      <c r="C3" s="142"/>
      <c r="D3" s="142"/>
      <c r="E3" s="142"/>
      <c r="F3" s="142"/>
      <c r="G3" s="142"/>
      <c r="H3" s="142"/>
      <c r="I3" s="142"/>
      <c r="J3" s="142"/>
      <c r="K3" s="59"/>
      <c r="L3" s="59"/>
    </row>
    <row r="4" spans="2:12" ht="12.75">
      <c r="B4" s="142" t="s">
        <v>77</v>
      </c>
      <c r="C4" s="142"/>
      <c r="D4" s="142"/>
      <c r="E4" s="142"/>
      <c r="F4" s="142"/>
      <c r="G4" s="142"/>
      <c r="H4" s="142"/>
      <c r="I4" s="142"/>
      <c r="J4" s="142"/>
      <c r="K4" s="59"/>
      <c r="L4" s="59"/>
    </row>
    <row r="5" spans="2:12" ht="12.75">
      <c r="B5" s="142" t="s">
        <v>78</v>
      </c>
      <c r="C5" s="142"/>
      <c r="D5" s="142"/>
      <c r="E5" s="142"/>
      <c r="F5" s="142"/>
      <c r="G5" s="142"/>
      <c r="H5" s="142"/>
      <c r="I5" s="142"/>
      <c r="J5" s="142"/>
      <c r="K5" s="59"/>
      <c r="L5" s="59"/>
    </row>
    <row r="6" spans="2:12" ht="12.75">
      <c r="B6" s="59"/>
      <c r="C6" s="59"/>
      <c r="D6" s="59"/>
      <c r="E6" s="59"/>
      <c r="F6" s="59"/>
      <c r="G6" s="59"/>
      <c r="H6" s="59"/>
      <c r="I6" s="59"/>
      <c r="J6" s="59"/>
      <c r="K6" s="60"/>
      <c r="L6" s="59"/>
    </row>
    <row r="7" spans="2:12" ht="12.75">
      <c r="B7" s="58"/>
      <c r="C7" s="58"/>
      <c r="D7" s="143" t="s">
        <v>79</v>
      </c>
      <c r="E7" s="144"/>
      <c r="F7" s="144"/>
      <c r="G7" s="144"/>
      <c r="H7" s="144"/>
      <c r="I7" s="144"/>
      <c r="J7" s="145"/>
      <c r="K7" s="58"/>
      <c r="L7" s="61"/>
    </row>
    <row r="8" spans="2:12" ht="12.75">
      <c r="B8" s="58"/>
      <c r="C8" s="58"/>
      <c r="D8" s="62"/>
      <c r="E8" s="141" t="s">
        <v>80</v>
      </c>
      <c r="F8" s="141"/>
      <c r="G8" s="141"/>
      <c r="H8" s="63" t="s">
        <v>81</v>
      </c>
      <c r="I8" s="63"/>
      <c r="J8" s="64"/>
      <c r="L8" s="65"/>
    </row>
    <row r="9" spans="2:12" ht="12.75">
      <c r="B9" s="58"/>
      <c r="C9" s="58"/>
      <c r="D9" s="66" t="s">
        <v>82</v>
      </c>
      <c r="E9" s="63" t="s">
        <v>82</v>
      </c>
      <c r="F9" s="67" t="s">
        <v>83</v>
      </c>
      <c r="G9" s="67" t="s">
        <v>84</v>
      </c>
      <c r="H9" s="63" t="s">
        <v>85</v>
      </c>
      <c r="I9" s="63" t="s">
        <v>86</v>
      </c>
      <c r="J9" s="64"/>
      <c r="K9" s="59" t="s">
        <v>87</v>
      </c>
      <c r="L9" s="68" t="s">
        <v>88</v>
      </c>
    </row>
    <row r="10" spans="2:12" ht="12.75">
      <c r="B10" s="58"/>
      <c r="C10" s="58"/>
      <c r="D10" s="66" t="s">
        <v>89</v>
      </c>
      <c r="E10" s="63" t="s">
        <v>90</v>
      </c>
      <c r="F10" s="67" t="s">
        <v>91</v>
      </c>
      <c r="G10" s="67" t="s">
        <v>92</v>
      </c>
      <c r="H10" s="63" t="s">
        <v>93</v>
      </c>
      <c r="I10" s="63" t="s">
        <v>94</v>
      </c>
      <c r="J10" s="69" t="s">
        <v>88</v>
      </c>
      <c r="K10" s="59" t="s">
        <v>95</v>
      </c>
      <c r="L10" s="68" t="s">
        <v>96</v>
      </c>
    </row>
    <row r="11" spans="2:12" ht="12.75">
      <c r="B11" s="58"/>
      <c r="C11" s="58"/>
      <c r="D11" s="66" t="s">
        <v>17</v>
      </c>
      <c r="E11" s="63" t="s">
        <v>17</v>
      </c>
      <c r="F11" s="63" t="s">
        <v>17</v>
      </c>
      <c r="G11" s="63" t="s">
        <v>17</v>
      </c>
      <c r="H11" s="63" t="s">
        <v>17</v>
      </c>
      <c r="I11" s="63" t="s">
        <v>17</v>
      </c>
      <c r="J11" s="69" t="s">
        <v>17</v>
      </c>
      <c r="K11" s="59" t="s">
        <v>17</v>
      </c>
      <c r="L11" s="68" t="s">
        <v>17</v>
      </c>
    </row>
    <row r="12" spans="2:12" ht="12.75">
      <c r="B12" s="58"/>
      <c r="C12" s="58"/>
      <c r="D12" s="66"/>
      <c r="E12" s="63"/>
      <c r="F12" s="63"/>
      <c r="G12" s="63"/>
      <c r="H12" s="63"/>
      <c r="I12" s="63"/>
      <c r="J12" s="69"/>
      <c r="K12" s="58"/>
      <c r="L12" s="65"/>
    </row>
    <row r="13" spans="2:14" ht="12.75">
      <c r="B13" s="70" t="s">
        <v>97</v>
      </c>
      <c r="C13" s="58"/>
      <c r="D13" s="71">
        <v>68625</v>
      </c>
      <c r="E13" s="72">
        <v>930</v>
      </c>
      <c r="F13" s="72">
        <v>-220</v>
      </c>
      <c r="G13" s="72">
        <v>-330</v>
      </c>
      <c r="H13" s="72">
        <v>23982</v>
      </c>
      <c r="I13" s="72">
        <v>2705</v>
      </c>
      <c r="J13" s="73">
        <f>SUM(D13:I13)</f>
        <v>95692</v>
      </c>
      <c r="K13" s="74">
        <v>2299</v>
      </c>
      <c r="L13" s="75">
        <f>SUM(J13:K13)</f>
        <v>97991</v>
      </c>
      <c r="N13" s="76"/>
    </row>
    <row r="14" spans="2:14" ht="12.75">
      <c r="B14" s="70" t="s">
        <v>98</v>
      </c>
      <c r="C14" s="58"/>
      <c r="D14" s="71"/>
      <c r="E14" s="72"/>
      <c r="F14" s="72"/>
      <c r="G14" s="72"/>
      <c r="H14" s="72">
        <v>2705</v>
      </c>
      <c r="I14" s="72">
        <v>-2705</v>
      </c>
      <c r="J14" s="73">
        <f>SUM(D14:I14)</f>
        <v>0</v>
      </c>
      <c r="K14" s="74"/>
      <c r="L14" s="75"/>
      <c r="N14" s="76"/>
    </row>
    <row r="15" spans="2:12" ht="12.75" hidden="1">
      <c r="B15" s="58" t="s">
        <v>99</v>
      </c>
      <c r="C15" s="58"/>
      <c r="D15" s="71"/>
      <c r="E15" s="72"/>
      <c r="F15" s="72"/>
      <c r="G15" s="72"/>
      <c r="H15" s="72"/>
      <c r="I15" s="72"/>
      <c r="J15" s="73">
        <f>SUM(D15:H15)</f>
        <v>0</v>
      </c>
      <c r="K15" s="74">
        <v>0</v>
      </c>
      <c r="L15" s="75">
        <f>SUM(J15:K15)</f>
        <v>0</v>
      </c>
    </row>
    <row r="16" spans="2:12" ht="12.75">
      <c r="B16" s="58" t="s">
        <v>100</v>
      </c>
      <c r="C16" s="58"/>
      <c r="D16" s="71"/>
      <c r="E16" s="72"/>
      <c r="F16" s="72"/>
      <c r="G16" s="72">
        <v>246</v>
      </c>
      <c r="H16" s="72"/>
      <c r="I16" s="72"/>
      <c r="J16" s="73">
        <f>SUM(D16:H16)</f>
        <v>246</v>
      </c>
      <c r="K16" s="74">
        <v>0</v>
      </c>
      <c r="L16" s="75">
        <f>SUM(J16:K16)</f>
        <v>246</v>
      </c>
    </row>
    <row r="17" spans="2:12" ht="12.75">
      <c r="B17" s="58" t="s">
        <v>101</v>
      </c>
      <c r="C17" s="58"/>
      <c r="D17" s="71"/>
      <c r="E17" s="72"/>
      <c r="F17" s="72">
        <v>-326</v>
      </c>
      <c r="G17" s="72"/>
      <c r="H17" s="72"/>
      <c r="I17" s="72"/>
      <c r="J17" s="73">
        <f>SUM(D17:H17)</f>
        <v>-326</v>
      </c>
      <c r="K17" s="74">
        <v>0</v>
      </c>
      <c r="L17" s="75">
        <f>SUM(J17:K17)</f>
        <v>-326</v>
      </c>
    </row>
    <row r="18" spans="2:12" ht="12.75">
      <c r="B18" s="58" t="s">
        <v>102</v>
      </c>
      <c r="C18" s="58"/>
      <c r="D18" s="71"/>
      <c r="E18" s="72"/>
      <c r="F18" s="72"/>
      <c r="G18" s="72"/>
      <c r="H18" s="72"/>
      <c r="I18" s="72"/>
      <c r="J18" s="73">
        <f>SUM(D18:H18)</f>
        <v>0</v>
      </c>
      <c r="K18" s="74">
        <v>0</v>
      </c>
      <c r="L18" s="75">
        <f>SUM(J18:K18)</f>
        <v>0</v>
      </c>
    </row>
    <row r="19" spans="2:12" ht="12.75">
      <c r="B19" s="58" t="s">
        <v>103</v>
      </c>
      <c r="C19" s="58"/>
      <c r="D19" s="71"/>
      <c r="E19" s="72"/>
      <c r="F19" s="72"/>
      <c r="G19" s="72"/>
      <c r="H19" s="72">
        <v>2906</v>
      </c>
      <c r="I19" s="72"/>
      <c r="J19" s="73">
        <f>SUM(D19:H19)</f>
        <v>2906</v>
      </c>
      <c r="K19" s="74">
        <v>226</v>
      </c>
      <c r="L19" s="75">
        <f>SUM(J19:K19)</f>
        <v>3132</v>
      </c>
    </row>
    <row r="20" spans="2:12" ht="13.5" thickBot="1">
      <c r="B20" s="70" t="s">
        <v>104</v>
      </c>
      <c r="C20" s="58"/>
      <c r="D20" s="77">
        <f aca="true" t="shared" si="0" ref="D20:L20">SUM(D13:D19)</f>
        <v>68625</v>
      </c>
      <c r="E20" s="78">
        <f t="shared" si="0"/>
        <v>930</v>
      </c>
      <c r="F20" s="78">
        <f t="shared" si="0"/>
        <v>-546</v>
      </c>
      <c r="G20" s="78">
        <f t="shared" si="0"/>
        <v>-84</v>
      </c>
      <c r="H20" s="78">
        <f t="shared" si="0"/>
        <v>29593</v>
      </c>
      <c r="I20" s="78">
        <f t="shared" si="0"/>
        <v>0</v>
      </c>
      <c r="J20" s="79">
        <f t="shared" si="0"/>
        <v>98518</v>
      </c>
      <c r="K20" s="78">
        <f t="shared" si="0"/>
        <v>2525</v>
      </c>
      <c r="L20" s="80">
        <f t="shared" si="0"/>
        <v>101043</v>
      </c>
    </row>
    <row r="21" spans="2:12" ht="12.75">
      <c r="B21" s="70"/>
      <c r="C21" s="58"/>
      <c r="D21" s="71"/>
      <c r="E21" s="72"/>
      <c r="F21" s="72"/>
      <c r="G21" s="72"/>
      <c r="H21" s="72"/>
      <c r="I21" s="72"/>
      <c r="J21" s="73"/>
      <c r="K21" s="58"/>
      <c r="L21" s="65"/>
    </row>
    <row r="22" spans="2:12" ht="12.75">
      <c r="B22" s="58"/>
      <c r="C22" s="58"/>
      <c r="D22" s="66"/>
      <c r="E22" s="63"/>
      <c r="F22" s="63"/>
      <c r="G22" s="63"/>
      <c r="H22" s="63"/>
      <c r="I22" s="63"/>
      <c r="J22" s="69"/>
      <c r="K22" s="58"/>
      <c r="L22" s="65"/>
    </row>
    <row r="23" spans="2:12" ht="12.75">
      <c r="B23" s="70" t="s">
        <v>105</v>
      </c>
      <c r="C23" s="58"/>
      <c r="D23" s="71">
        <v>68625</v>
      </c>
      <c r="E23" s="72">
        <v>930</v>
      </c>
      <c r="F23" s="72">
        <v>-1252</v>
      </c>
      <c r="G23" s="72">
        <v>-119</v>
      </c>
      <c r="H23" s="72">
        <v>29138</v>
      </c>
      <c r="I23" s="72">
        <v>2315</v>
      </c>
      <c r="J23" s="73">
        <f aca="true" t="shared" si="1" ref="J23:J31">SUM(D23:I23)</f>
        <v>99637</v>
      </c>
      <c r="K23" s="74">
        <v>2078</v>
      </c>
      <c r="L23" s="75">
        <f aca="true" t="shared" si="2" ref="L23:L32">SUM(J23:K23)</f>
        <v>101715</v>
      </c>
    </row>
    <row r="24" spans="2:12" ht="12.75">
      <c r="B24" s="70" t="s">
        <v>106</v>
      </c>
      <c r="C24" s="58"/>
      <c r="D24" s="71"/>
      <c r="E24" s="72"/>
      <c r="F24" s="72"/>
      <c r="G24" s="72"/>
      <c r="H24" s="72">
        <v>2315</v>
      </c>
      <c r="I24" s="72">
        <v>-2315</v>
      </c>
      <c r="J24" s="73">
        <f t="shared" si="1"/>
        <v>0</v>
      </c>
      <c r="K24" s="74">
        <v>0</v>
      </c>
      <c r="L24" s="75">
        <f t="shared" si="2"/>
        <v>0</v>
      </c>
    </row>
    <row r="25" spans="2:12" ht="12.75" hidden="1">
      <c r="B25" s="58" t="s">
        <v>107</v>
      </c>
      <c r="C25" s="58"/>
      <c r="D25" s="71"/>
      <c r="E25" s="72"/>
      <c r="F25" s="72"/>
      <c r="G25" s="72"/>
      <c r="H25" s="72"/>
      <c r="I25" s="72"/>
      <c r="J25" s="73">
        <f t="shared" si="1"/>
        <v>0</v>
      </c>
      <c r="K25" s="74">
        <v>0</v>
      </c>
      <c r="L25" s="75">
        <f t="shared" si="2"/>
        <v>0</v>
      </c>
    </row>
    <row r="26" spans="2:12" ht="12.75" hidden="1">
      <c r="B26" s="58" t="s">
        <v>99</v>
      </c>
      <c r="C26" s="58"/>
      <c r="D26" s="71"/>
      <c r="E26" s="72"/>
      <c r="F26" s="72"/>
      <c r="G26" s="72"/>
      <c r="H26" s="72"/>
      <c r="I26" s="72"/>
      <c r="J26" s="73">
        <f t="shared" si="1"/>
        <v>0</v>
      </c>
      <c r="K26" s="74">
        <v>0</v>
      </c>
      <c r="L26" s="75">
        <f t="shared" si="2"/>
        <v>0</v>
      </c>
    </row>
    <row r="27" spans="2:12" ht="12.75">
      <c r="B27" s="58" t="s">
        <v>100</v>
      </c>
      <c r="C27" s="58"/>
      <c r="D27" s="71"/>
      <c r="E27" s="72"/>
      <c r="F27" s="72"/>
      <c r="G27" s="72">
        <v>-44</v>
      </c>
      <c r="H27" s="72"/>
      <c r="I27" s="72"/>
      <c r="J27" s="73">
        <f t="shared" si="1"/>
        <v>-44</v>
      </c>
      <c r="K27" s="74">
        <v>0</v>
      </c>
      <c r="L27" s="75">
        <f t="shared" si="2"/>
        <v>-44</v>
      </c>
    </row>
    <row r="28" spans="2:12" ht="12.75">
      <c r="B28" s="58" t="s">
        <v>101</v>
      </c>
      <c r="C28" s="58"/>
      <c r="D28" s="71"/>
      <c r="E28" s="72"/>
      <c r="F28" s="72">
        <v>-473</v>
      </c>
      <c r="G28" s="72"/>
      <c r="H28" s="72"/>
      <c r="I28" s="72"/>
      <c r="J28" s="73">
        <f t="shared" si="1"/>
        <v>-473</v>
      </c>
      <c r="K28" s="74">
        <v>0</v>
      </c>
      <c r="L28" s="75">
        <f t="shared" si="2"/>
        <v>-473</v>
      </c>
    </row>
    <row r="29" spans="2:12" ht="12.75">
      <c r="B29" s="58" t="s">
        <v>102</v>
      </c>
      <c r="C29" s="58"/>
      <c r="D29" s="71"/>
      <c r="E29" s="72"/>
      <c r="F29" s="72"/>
      <c r="G29" s="72"/>
      <c r="H29" s="72"/>
      <c r="I29" s="72"/>
      <c r="J29" s="73">
        <f t="shared" si="1"/>
        <v>0</v>
      </c>
      <c r="K29" s="74">
        <v>0</v>
      </c>
      <c r="L29" s="75">
        <f t="shared" si="2"/>
        <v>0</v>
      </c>
    </row>
    <row r="30" spans="2:12" ht="12.75">
      <c r="B30" s="58" t="s">
        <v>103</v>
      </c>
      <c r="C30" s="58"/>
      <c r="D30" s="71"/>
      <c r="E30" s="72"/>
      <c r="F30" s="72"/>
      <c r="G30" s="72"/>
      <c r="H30" s="72">
        <v>2225</v>
      </c>
      <c r="I30" s="72"/>
      <c r="J30" s="73">
        <f t="shared" si="1"/>
        <v>2225</v>
      </c>
      <c r="K30" s="74">
        <v>-144</v>
      </c>
      <c r="L30" s="75">
        <f t="shared" si="2"/>
        <v>2081</v>
      </c>
    </row>
    <row r="31" spans="2:12" ht="12.75">
      <c r="B31" s="81"/>
      <c r="C31" s="58"/>
      <c r="D31" s="71"/>
      <c r="E31" s="72"/>
      <c r="F31" s="72"/>
      <c r="G31" s="72"/>
      <c r="H31" s="72"/>
      <c r="I31" s="72"/>
      <c r="J31" s="73">
        <f t="shared" si="1"/>
        <v>0</v>
      </c>
      <c r="K31" s="74">
        <v>0</v>
      </c>
      <c r="L31" s="75">
        <f t="shared" si="2"/>
        <v>0</v>
      </c>
    </row>
    <row r="32" spans="2:12" ht="13.5" thickBot="1">
      <c r="B32" s="70" t="s">
        <v>108</v>
      </c>
      <c r="C32" s="58"/>
      <c r="D32" s="77">
        <f>SUM(D23:D31)</f>
        <v>68625</v>
      </c>
      <c r="E32" s="78">
        <f>SUM(E23:E31)</f>
        <v>930</v>
      </c>
      <c r="F32" s="78">
        <f>SUM(F23:F31)</f>
        <v>-1725</v>
      </c>
      <c r="G32" s="78">
        <f>SUM(G23:G31)</f>
        <v>-163</v>
      </c>
      <c r="H32" s="78">
        <f>SUM(H23:H31)</f>
        <v>33678</v>
      </c>
      <c r="I32" s="78">
        <v>0</v>
      </c>
      <c r="J32" s="79">
        <f>SUM(J23:J31)</f>
        <v>101345</v>
      </c>
      <c r="K32" s="78">
        <f>SUM(K23:K31)</f>
        <v>1934</v>
      </c>
      <c r="L32" s="80">
        <f t="shared" si="2"/>
        <v>103279</v>
      </c>
    </row>
    <row r="33" spans="2:12" ht="12.75">
      <c r="B33" s="70"/>
      <c r="C33" s="58"/>
      <c r="D33" s="82"/>
      <c r="E33" s="83"/>
      <c r="F33" s="83"/>
      <c r="G33" s="83"/>
      <c r="H33" s="83"/>
      <c r="I33" s="83"/>
      <c r="J33" s="84"/>
      <c r="K33" s="58"/>
      <c r="L33" s="85"/>
    </row>
    <row r="34" spans="2:12" ht="12.75">
      <c r="B34" s="70"/>
      <c r="C34" s="58"/>
      <c r="D34" s="72"/>
      <c r="E34" s="72"/>
      <c r="F34" s="72"/>
      <c r="G34" s="72"/>
      <c r="H34" s="72"/>
      <c r="I34" s="72"/>
      <c r="J34" s="72"/>
      <c r="K34" s="58"/>
      <c r="L34" s="58"/>
    </row>
    <row r="35" spans="2:12" ht="12.75">
      <c r="B35" s="58"/>
      <c r="C35" s="58"/>
      <c r="D35" s="74"/>
      <c r="E35" s="74"/>
      <c r="F35" s="74"/>
      <c r="G35" s="74"/>
      <c r="H35" s="74"/>
      <c r="I35" s="74"/>
      <c r="J35" s="74"/>
      <c r="K35" s="58"/>
      <c r="L35" s="58"/>
    </row>
    <row r="36" spans="2:12" ht="12.75">
      <c r="B36" s="58"/>
      <c r="C36" s="86" t="s">
        <v>109</v>
      </c>
      <c r="D36" s="58"/>
      <c r="E36" s="58"/>
      <c r="F36" s="58"/>
      <c r="G36" s="58"/>
      <c r="H36" s="58"/>
      <c r="I36" s="58"/>
      <c r="J36" s="58"/>
      <c r="K36" s="58"/>
      <c r="L36" s="58"/>
    </row>
    <row r="37" spans="2:12" ht="12.75">
      <c r="B37" s="58"/>
      <c r="C37" s="86" t="s">
        <v>110</v>
      </c>
      <c r="D37" s="58"/>
      <c r="E37" s="58"/>
      <c r="F37" s="58"/>
      <c r="G37" s="58"/>
      <c r="H37" s="58"/>
      <c r="I37" s="58"/>
      <c r="J37" s="58"/>
      <c r="K37" s="58"/>
      <c r="L37" s="58"/>
    </row>
  </sheetData>
  <mergeCells count="5">
    <mergeCell ref="E8:G8"/>
    <mergeCell ref="B3:J3"/>
    <mergeCell ref="B4:J4"/>
    <mergeCell ref="B5:J5"/>
    <mergeCell ref="D7:J7"/>
  </mergeCells>
  <printOptions horizontalCentered="1" verticalCentered="1"/>
  <pageMargins left="0.58" right="0.6" top="0.75" bottom="0.75" header="0.5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71"/>
  <sheetViews>
    <sheetView workbookViewId="0" topLeftCell="A47">
      <selection activeCell="C60" sqref="C60"/>
    </sheetView>
  </sheetViews>
  <sheetFormatPr defaultColWidth="9.140625" defaultRowHeight="13.5" customHeight="1"/>
  <cols>
    <col min="1" max="1" width="1.7109375" style="94" customWidth="1"/>
    <col min="2" max="3" width="8.8515625" style="94" customWidth="1"/>
    <col min="4" max="4" width="37.57421875" style="94" customWidth="1"/>
    <col min="5" max="5" width="2.7109375" style="104" customWidth="1"/>
    <col min="6" max="7" width="18.7109375" style="103" customWidth="1"/>
    <col min="8" max="8" width="14.00390625" style="103" hidden="1" customWidth="1"/>
    <col min="9" max="9" width="2.00390625" style="94" customWidth="1"/>
    <col min="10" max="16384" width="8.8515625" style="94" customWidth="1"/>
  </cols>
  <sheetData>
    <row r="1" spans="1:8" s="87" customFormat="1" ht="18.75" customHeight="1">
      <c r="A1" s="1" t="s">
        <v>111</v>
      </c>
      <c r="F1" s="88"/>
      <c r="G1" s="88"/>
      <c r="H1" s="88"/>
    </row>
    <row r="2" spans="1:8" s="87" customFormat="1" ht="18.75" customHeight="1">
      <c r="A2" s="4" t="s">
        <v>1</v>
      </c>
      <c r="F2" s="88"/>
      <c r="G2" s="88"/>
      <c r="H2" s="88"/>
    </row>
    <row r="3" spans="1:8" s="87" customFormat="1" ht="13.5" customHeight="1">
      <c r="A3" s="89" t="s">
        <v>112</v>
      </c>
      <c r="F3" s="90"/>
      <c r="G3" s="90"/>
      <c r="H3" s="88"/>
    </row>
    <row r="4" spans="1:8" s="87" customFormat="1" ht="13.5" customHeight="1">
      <c r="A4" s="89" t="s">
        <v>113</v>
      </c>
      <c r="F4" s="91" t="s">
        <v>114</v>
      </c>
      <c r="G4" s="91" t="s">
        <v>114</v>
      </c>
      <c r="H4" s="88"/>
    </row>
    <row r="5" spans="1:8" ht="13.5" customHeight="1">
      <c r="A5" s="5" t="s">
        <v>78</v>
      </c>
      <c r="B5" s="92"/>
      <c r="C5" s="92"/>
      <c r="D5" s="92"/>
      <c r="E5" s="92"/>
      <c r="F5" s="91" t="s">
        <v>8</v>
      </c>
      <c r="G5" s="91" t="s">
        <v>8</v>
      </c>
      <c r="H5" s="93" t="s">
        <v>115</v>
      </c>
    </row>
    <row r="6" spans="2:8" ht="13.5" customHeight="1">
      <c r="B6" s="92"/>
      <c r="C6" s="92"/>
      <c r="D6" s="92"/>
      <c r="E6" s="92"/>
      <c r="F6" s="91" t="s">
        <v>116</v>
      </c>
      <c r="G6" s="91" t="s">
        <v>116</v>
      </c>
      <c r="H6" s="95" t="e">
        <f>#REF!</f>
        <v>#REF!</v>
      </c>
    </row>
    <row r="7" spans="2:8" ht="13.5" customHeight="1">
      <c r="B7" s="92"/>
      <c r="C7" s="92"/>
      <c r="D7" s="92"/>
      <c r="E7" s="92"/>
      <c r="F7" s="136" t="s">
        <v>13</v>
      </c>
      <c r="G7" s="96" t="s">
        <v>14</v>
      </c>
      <c r="H7" s="95" t="s">
        <v>117</v>
      </c>
    </row>
    <row r="8" spans="1:8" ht="13.5" customHeight="1">
      <c r="A8" s="97"/>
      <c r="B8" s="92"/>
      <c r="C8" s="92"/>
      <c r="D8" s="92"/>
      <c r="E8" s="92"/>
      <c r="F8" s="98" t="s">
        <v>17</v>
      </c>
      <c r="G8" s="98" t="s">
        <v>17</v>
      </c>
      <c r="H8" s="99" t="s">
        <v>17</v>
      </c>
    </row>
    <row r="9" spans="1:5" ht="13.5" customHeight="1">
      <c r="A9" s="100" t="s">
        <v>118</v>
      </c>
      <c r="B9" s="101"/>
      <c r="C9" s="101"/>
      <c r="D9" s="101"/>
      <c r="E9" s="102"/>
    </row>
    <row r="10" spans="1:8" ht="13.5" customHeight="1">
      <c r="A10" s="87" t="s">
        <v>26</v>
      </c>
      <c r="B10" s="87"/>
      <c r="F10" s="103">
        <f>'[4]CF workings'!J91</f>
        <v>2873.4</v>
      </c>
      <c r="G10" s="103">
        <f>3973-97</f>
        <v>3876</v>
      </c>
      <c r="H10" s="103">
        <v>-5355</v>
      </c>
    </row>
    <row r="11" spans="1:2" ht="13.5" customHeight="1">
      <c r="A11" s="87"/>
      <c r="B11" s="87"/>
    </row>
    <row r="12" spans="1:2" ht="13.5" customHeight="1">
      <c r="A12" s="87" t="s">
        <v>119</v>
      </c>
      <c r="B12" s="87"/>
    </row>
    <row r="13" spans="2:8" ht="13.5" customHeight="1">
      <c r="B13" s="94" t="s">
        <v>120</v>
      </c>
      <c r="F13" s="103">
        <f>'[4]CF workings'!K14</f>
        <v>1358.4</v>
      </c>
      <c r="G13" s="103">
        <v>1334</v>
      </c>
      <c r="H13" s="103">
        <v>20552</v>
      </c>
    </row>
    <row r="14" spans="2:7" ht="13.5" customHeight="1">
      <c r="B14" s="94" t="s">
        <v>121</v>
      </c>
      <c r="F14" s="103">
        <f>'[3]CF workings'!K12</f>
        <v>0</v>
      </c>
      <c r="G14" s="103">
        <v>3</v>
      </c>
    </row>
    <row r="15" spans="2:8" ht="13.5" customHeight="1">
      <c r="B15" s="94" t="s">
        <v>122</v>
      </c>
      <c r="F15" s="105">
        <f>'[4]CF workings'!K95</f>
        <v>98.994</v>
      </c>
      <c r="G15" s="105">
        <v>127</v>
      </c>
      <c r="H15" s="106"/>
    </row>
    <row r="16" spans="2:8" ht="13.5" customHeight="1">
      <c r="B16" s="94" t="s">
        <v>123</v>
      </c>
      <c r="F16" s="105">
        <f>'[4]CF workings'!K96</f>
        <v>-207.967</v>
      </c>
      <c r="G16" s="105">
        <v>-72</v>
      </c>
      <c r="H16" s="106">
        <v>0</v>
      </c>
    </row>
    <row r="17" spans="6:8" ht="13.5" customHeight="1">
      <c r="F17" s="107"/>
      <c r="G17" s="107"/>
      <c r="H17" s="108"/>
    </row>
    <row r="18" spans="1:8" ht="13.5" customHeight="1">
      <c r="A18" s="87" t="s">
        <v>124</v>
      </c>
      <c r="F18" s="103">
        <f>SUM(F10:F17)</f>
        <v>4122.827</v>
      </c>
      <c r="G18" s="103">
        <f>SUM(G10:G17)</f>
        <v>5268</v>
      </c>
      <c r="H18" s="103">
        <f>SUM(H10:H17)</f>
        <v>15197</v>
      </c>
    </row>
    <row r="19" ht="13.5" customHeight="1">
      <c r="A19" s="87"/>
    </row>
    <row r="20" ht="13.5" customHeight="1">
      <c r="A20" s="94" t="s">
        <v>125</v>
      </c>
    </row>
    <row r="21" spans="2:8" ht="13.5" customHeight="1">
      <c r="B21" s="94" t="s">
        <v>126</v>
      </c>
      <c r="F21" s="103">
        <f>SUM('[4]CF workings'!L36,'[4]CF workings'!L38,'[4]CF workings'!L43,'[4]CF workings'!L44)</f>
        <v>-1099.311999999998</v>
      </c>
      <c r="G21" s="103">
        <v>-9805</v>
      </c>
      <c r="H21" s="103">
        <v>101228</v>
      </c>
    </row>
    <row r="22" spans="2:8" ht="13.5" customHeight="1">
      <c r="B22" s="94" t="s">
        <v>127</v>
      </c>
      <c r="F22" s="103">
        <f>SUM('[4]CF workings'!L55,'[4]CF workings'!L61,'[4]CF workings'!L63,'[4]CF workings'!L16)</f>
        <v>1243.2239999999983</v>
      </c>
      <c r="G22" s="103">
        <v>2739</v>
      </c>
      <c r="H22" s="103">
        <v>-62918</v>
      </c>
    </row>
    <row r="23" spans="2:8" ht="13.5" customHeight="1" hidden="1">
      <c r="B23" s="94" t="s">
        <v>128</v>
      </c>
      <c r="F23" s="103">
        <f>'[4]CF workings'!L93</f>
        <v>0</v>
      </c>
      <c r="G23" s="103">
        <v>0</v>
      </c>
      <c r="H23" s="103">
        <f>-18835</f>
        <v>-18835</v>
      </c>
    </row>
    <row r="24" spans="2:8" ht="13.5" customHeight="1">
      <c r="B24" s="94" t="s">
        <v>129</v>
      </c>
      <c r="F24" s="107">
        <f>'[4]CF workings'!M92</f>
        <v>-792.202</v>
      </c>
      <c r="G24" s="107">
        <v>-744</v>
      </c>
      <c r="H24" s="107">
        <v>-1163</v>
      </c>
    </row>
    <row r="25" spans="1:8" ht="13.5" customHeight="1">
      <c r="A25" s="87" t="s">
        <v>130</v>
      </c>
      <c r="F25" s="109">
        <f>SUM(F18:F24)</f>
        <v>3474.5370000000003</v>
      </c>
      <c r="G25" s="109">
        <f>SUM(G18:G24)</f>
        <v>-2542</v>
      </c>
      <c r="H25" s="109">
        <f>SUM(H18:H24)</f>
        <v>33509</v>
      </c>
    </row>
    <row r="27" ht="13.5" customHeight="1">
      <c r="A27" s="94" t="s">
        <v>131</v>
      </c>
    </row>
    <row r="29" spans="2:8" ht="13.5" customHeight="1">
      <c r="B29" s="94" t="s">
        <v>132</v>
      </c>
      <c r="F29" s="105">
        <f>'[4]CF workings'!N8</f>
        <v>-1075</v>
      </c>
      <c r="G29" s="105">
        <v>-4280</v>
      </c>
      <c r="H29" s="103">
        <v>-8338</v>
      </c>
    </row>
    <row r="30" spans="2:7" ht="13.5" customHeight="1">
      <c r="B30" s="94" t="s">
        <v>133</v>
      </c>
      <c r="F30" s="103">
        <f>'[4]CF workings'!N10</f>
        <v>59.4</v>
      </c>
      <c r="G30" s="103">
        <v>0</v>
      </c>
    </row>
    <row r="31" spans="2:7" ht="13.5" customHeight="1">
      <c r="B31" s="94" t="s">
        <v>134</v>
      </c>
      <c r="F31" s="103">
        <v>0</v>
      </c>
      <c r="G31" s="103">
        <v>-382</v>
      </c>
    </row>
    <row r="32" spans="2:8" ht="13.5" customHeight="1">
      <c r="B32" s="94" t="s">
        <v>123</v>
      </c>
      <c r="F32" s="103">
        <f>'[4]CF workings'!N96</f>
        <v>207.967</v>
      </c>
      <c r="G32" s="103">
        <v>72</v>
      </c>
      <c r="H32" s="103">
        <v>-18073</v>
      </c>
    </row>
    <row r="33" spans="1:8" ht="13.5" customHeight="1">
      <c r="A33" s="87" t="s">
        <v>135</v>
      </c>
      <c r="F33" s="109">
        <f>SUM(F28:F32)</f>
        <v>-807.633</v>
      </c>
      <c r="G33" s="109">
        <f>SUM(G28:G32)</f>
        <v>-4590</v>
      </c>
      <c r="H33" s="109">
        <f>SUM(H29:H32)</f>
        <v>-26411</v>
      </c>
    </row>
    <row r="35" spans="1:7" ht="13.5" customHeight="1">
      <c r="A35" s="94" t="s">
        <v>136</v>
      </c>
      <c r="F35" s="106"/>
      <c r="G35" s="106"/>
    </row>
    <row r="36" spans="2:7" ht="13.5" customHeight="1" hidden="1">
      <c r="B36" s="94" t="s">
        <v>137</v>
      </c>
      <c r="F36" s="106">
        <v>0</v>
      </c>
      <c r="G36" s="106">
        <v>0</v>
      </c>
    </row>
    <row r="37" spans="2:7" ht="13.5" customHeight="1" hidden="1">
      <c r="B37" s="94" t="s">
        <v>138</v>
      </c>
      <c r="F37" s="106">
        <v>0</v>
      </c>
      <c r="G37" s="106">
        <v>0</v>
      </c>
    </row>
    <row r="38" spans="2:7" ht="13.5" customHeight="1">
      <c r="B38" s="94" t="s">
        <v>139</v>
      </c>
      <c r="F38" s="103">
        <f>'[4]CF workings'!O95</f>
        <v>-98.994</v>
      </c>
      <c r="G38" s="103">
        <v>-127</v>
      </c>
    </row>
    <row r="39" spans="2:8" s="87" customFormat="1" ht="13.5" customHeight="1">
      <c r="B39" s="87" t="s">
        <v>140</v>
      </c>
      <c r="E39" s="110"/>
      <c r="F39" s="111">
        <f>SUM('[4]CF workings'!O70:O73)</f>
        <v>1934.4710000000002</v>
      </c>
      <c r="G39" s="111">
        <v>4785</v>
      </c>
      <c r="H39" s="112">
        <v>-31788</v>
      </c>
    </row>
    <row r="40" spans="2:8" s="87" customFormat="1" ht="13.5" customHeight="1">
      <c r="B40" s="87" t="s">
        <v>101</v>
      </c>
      <c r="E40" s="110"/>
      <c r="F40" s="111">
        <f>'[4]CF workings'!O84</f>
        <v>-473.4079999999999</v>
      </c>
      <c r="G40" s="111">
        <v>-326</v>
      </c>
      <c r="H40" s="111"/>
    </row>
    <row r="41" spans="2:8" s="87" customFormat="1" ht="13.5" customHeight="1">
      <c r="B41" s="87" t="s">
        <v>141</v>
      </c>
      <c r="E41" s="110"/>
      <c r="F41" s="111">
        <f>'[4]CF workings'!O87</f>
        <v>-44.239000000000004</v>
      </c>
      <c r="G41" s="111">
        <v>246</v>
      </c>
      <c r="H41" s="111"/>
    </row>
    <row r="42" spans="2:8" s="87" customFormat="1" ht="13.5" customHeight="1" hidden="1">
      <c r="B42" s="87" t="s">
        <v>142</v>
      </c>
      <c r="E42" s="110"/>
      <c r="F42" s="112">
        <f>SUM('[4]CF workings'!O76,'[4]CF workings'!O78)</f>
        <v>0</v>
      </c>
      <c r="G42" s="112">
        <v>0</v>
      </c>
      <c r="H42" s="111"/>
    </row>
    <row r="43" spans="1:8" s="87" customFormat="1" ht="13.5" customHeight="1">
      <c r="A43" s="87" t="s">
        <v>143</v>
      </c>
      <c r="E43" s="110"/>
      <c r="F43" s="113">
        <f>SUM(F36:F42)</f>
        <v>1317.8300000000004</v>
      </c>
      <c r="G43" s="113">
        <f>SUM(G36:G42)</f>
        <v>4578</v>
      </c>
      <c r="H43" s="111"/>
    </row>
    <row r="44" spans="5:8" s="87" customFormat="1" ht="13.5" customHeight="1">
      <c r="E44" s="110"/>
      <c r="F44" s="111"/>
      <c r="G44" s="111"/>
      <c r="H44" s="111"/>
    </row>
    <row r="45" spans="1:8" s="87" customFormat="1" ht="13.5" customHeight="1">
      <c r="A45" s="87" t="s">
        <v>144</v>
      </c>
      <c r="E45" s="110" t="s">
        <v>145</v>
      </c>
      <c r="F45" s="111">
        <f>F25+F33+F43</f>
        <v>3984.734000000001</v>
      </c>
      <c r="G45" s="111">
        <f>G25+G33+G43</f>
        <v>-2554</v>
      </c>
      <c r="H45" s="111">
        <f>H25+H33+H39</f>
        <v>-24690</v>
      </c>
    </row>
    <row r="46" spans="5:8" s="87" customFormat="1" ht="13.5" customHeight="1">
      <c r="E46" s="110"/>
      <c r="F46" s="114"/>
      <c r="G46" s="114"/>
      <c r="H46" s="114"/>
    </row>
    <row r="47" spans="1:8" s="87" customFormat="1" ht="13.5" customHeight="1">
      <c r="A47" s="87" t="s">
        <v>146</v>
      </c>
      <c r="E47" s="110"/>
      <c r="F47" s="114">
        <v>8623</v>
      </c>
      <c r="G47" s="114">
        <v>13676</v>
      </c>
      <c r="H47" s="114">
        <f>475142-6901</f>
        <v>468241</v>
      </c>
    </row>
    <row r="48" spans="1:8" s="87" customFormat="1" ht="13.5" customHeight="1">
      <c r="A48" s="87" t="s">
        <v>147</v>
      </c>
      <c r="F48" s="88"/>
      <c r="G48" s="88"/>
      <c r="H48" s="88"/>
    </row>
    <row r="49" spans="1:8" s="87" customFormat="1" ht="19.5" customHeight="1" thickBot="1">
      <c r="A49" s="87" t="s">
        <v>148</v>
      </c>
      <c r="E49" s="110"/>
      <c r="F49" s="115">
        <f>SUM(F45:F48)</f>
        <v>12607.734</v>
      </c>
      <c r="G49" s="115">
        <f>SUM(G45:G48)</f>
        <v>11122</v>
      </c>
      <c r="H49" s="115">
        <f>SUM(H45:H48)</f>
        <v>443551</v>
      </c>
    </row>
    <row r="50" ht="17.25" customHeight="1" thickTop="1">
      <c r="J50" s="103"/>
    </row>
    <row r="51" spans="1:8" ht="13.5" customHeight="1">
      <c r="A51" s="87" t="s">
        <v>149</v>
      </c>
      <c r="H51" s="94"/>
    </row>
    <row r="52" spans="2:8" ht="13.5" customHeight="1">
      <c r="B52" s="116" t="s">
        <v>150</v>
      </c>
      <c r="D52" s="116"/>
      <c r="E52" s="94"/>
      <c r="F52" s="117">
        <f>'[3]CF workings'!D111+'[3]CF workings'!D112+'[3]CF workings'!D115</f>
        <v>15309.11174</v>
      </c>
      <c r="G52" s="117">
        <v>11356</v>
      </c>
      <c r="H52" s="117">
        <v>385258</v>
      </c>
    </row>
    <row r="53" spans="2:8" ht="13.5" customHeight="1" hidden="1">
      <c r="B53" s="94" t="s">
        <v>151</v>
      </c>
      <c r="C53" s="116"/>
      <c r="E53" s="94"/>
      <c r="F53" s="118"/>
      <c r="G53" s="118"/>
      <c r="H53" s="119">
        <v>-13247</v>
      </c>
    </row>
    <row r="54" spans="2:8" ht="18.75" customHeight="1" hidden="1">
      <c r="B54" s="116"/>
      <c r="C54" s="116"/>
      <c r="E54" s="94"/>
      <c r="F54" s="119">
        <f>SUM(F52:F53)</f>
        <v>15309.11174</v>
      </c>
      <c r="G54" s="119">
        <f>SUM(G52:G53)</f>
        <v>11356</v>
      </c>
      <c r="H54" s="120">
        <f>SUM(H52:H53)</f>
        <v>372011</v>
      </c>
    </row>
    <row r="55" spans="2:8" ht="18.75" customHeight="1">
      <c r="B55" s="116" t="s">
        <v>152</v>
      </c>
      <c r="C55" s="116"/>
      <c r="E55" s="94"/>
      <c r="F55" s="119">
        <f>'[3]CF workings'!D113</f>
        <v>-2701.14625</v>
      </c>
      <c r="G55" s="119">
        <v>-234</v>
      </c>
      <c r="H55" s="119"/>
    </row>
    <row r="56" spans="2:8" ht="18" customHeight="1" thickBot="1">
      <c r="B56" s="116" t="s">
        <v>153</v>
      </c>
      <c r="C56" s="116"/>
      <c r="E56" s="94"/>
      <c r="F56" s="120">
        <f>SUM(F54:F55)</f>
        <v>12607.96549</v>
      </c>
      <c r="G56" s="120">
        <f>SUM(G54:G55)</f>
        <v>11122</v>
      </c>
      <c r="H56" s="119"/>
    </row>
    <row r="57" spans="2:8" ht="13.5" customHeight="1" thickTop="1">
      <c r="B57" s="116"/>
      <c r="C57" s="116"/>
      <c r="E57" s="94"/>
      <c r="F57" s="119"/>
      <c r="G57" s="119"/>
      <c r="H57" s="119"/>
    </row>
    <row r="58" spans="2:8" s="121" customFormat="1" ht="41.25" customHeight="1">
      <c r="B58" s="146" t="s">
        <v>154</v>
      </c>
      <c r="C58" s="146"/>
      <c r="D58" s="146"/>
      <c r="E58" s="146"/>
      <c r="F58" s="146"/>
      <c r="G58" s="146"/>
      <c r="H58" s="122"/>
    </row>
    <row r="59" spans="2:8" ht="13.5" customHeight="1">
      <c r="B59" s="116"/>
      <c r="C59" s="116"/>
      <c r="E59" s="94"/>
      <c r="F59" s="119"/>
      <c r="G59" s="119"/>
      <c r="H59" s="119"/>
    </row>
    <row r="60" spans="2:8" ht="13.5" customHeight="1">
      <c r="B60" s="116"/>
      <c r="C60" s="116"/>
      <c r="E60" s="94"/>
      <c r="F60" s="119"/>
      <c r="G60" s="119"/>
      <c r="H60" s="119"/>
    </row>
    <row r="61" spans="2:8" ht="13.5" customHeight="1">
      <c r="B61" s="116"/>
      <c r="C61" s="116"/>
      <c r="E61" s="94"/>
      <c r="F61" s="119"/>
      <c r="G61" s="119"/>
      <c r="H61" s="119"/>
    </row>
    <row r="62" spans="2:8" ht="13.5" customHeight="1">
      <c r="B62" s="116"/>
      <c r="C62" s="116"/>
      <c r="E62" s="94"/>
      <c r="F62" s="119"/>
      <c r="G62" s="119"/>
      <c r="H62" s="119"/>
    </row>
    <row r="63" spans="2:8" ht="13.5" customHeight="1">
      <c r="B63" s="116"/>
      <c r="C63" s="116"/>
      <c r="E63" s="94"/>
      <c r="F63" s="119"/>
      <c r="G63" s="119"/>
      <c r="H63" s="119"/>
    </row>
    <row r="64" spans="2:8" ht="13.5" customHeight="1">
      <c r="B64" s="116"/>
      <c r="C64" s="116"/>
      <c r="E64" s="94"/>
      <c r="F64" s="119"/>
      <c r="G64" s="119"/>
      <c r="H64" s="119"/>
    </row>
    <row r="65" spans="2:8" ht="13.5" customHeight="1">
      <c r="B65" s="116"/>
      <c r="C65" s="116"/>
      <c r="E65" s="94"/>
      <c r="F65" s="119"/>
      <c r="G65" s="119"/>
      <c r="H65" s="119"/>
    </row>
    <row r="66" spans="2:8" ht="13.5" customHeight="1">
      <c r="B66" s="116"/>
      <c r="C66" s="116"/>
      <c r="E66" s="94"/>
      <c r="F66" s="119"/>
      <c r="G66" s="119"/>
      <c r="H66" s="119"/>
    </row>
    <row r="67" spans="3:8" ht="13.5" customHeight="1">
      <c r="C67" s="116"/>
      <c r="E67" s="94"/>
      <c r="F67" s="119"/>
      <c r="G67" s="119"/>
      <c r="H67" s="119"/>
    </row>
    <row r="68" spans="3:8" ht="13.5" customHeight="1">
      <c r="C68" s="116"/>
      <c r="E68" s="94"/>
      <c r="F68" s="119"/>
      <c r="G68" s="119"/>
      <c r="H68" s="119"/>
    </row>
    <row r="69" ht="13.5" customHeight="1">
      <c r="I69" s="123"/>
    </row>
    <row r="70" spans="1:9" ht="13.5" customHeight="1">
      <c r="A70" s="89"/>
      <c r="B70" s="124"/>
      <c r="I70" s="123"/>
    </row>
    <row r="71" spans="1:2" ht="13.5" customHeight="1">
      <c r="A71" s="89"/>
      <c r="B71" s="124"/>
    </row>
  </sheetData>
  <mergeCells count="1">
    <mergeCell ref="B58:G5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weychong</dc:creator>
  <cp:keywords/>
  <dc:description/>
  <cp:lastModifiedBy>ysc</cp:lastModifiedBy>
  <cp:lastPrinted>2006-12-29T08:21:50Z</cp:lastPrinted>
  <dcterms:created xsi:type="dcterms:W3CDTF">2006-12-29T04:33:54Z</dcterms:created>
  <dcterms:modified xsi:type="dcterms:W3CDTF">2006-12-29T08:21:53Z</dcterms:modified>
  <cp:category/>
  <cp:version/>
  <cp:contentType/>
  <cp:contentStatus/>
</cp:coreProperties>
</file>